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DJEPVA_SCN_INJEP_MEDES\3. Service civique\Données régulières ELISA publiées sur le site\"/>
    </mc:Choice>
  </mc:AlternateContent>
  <bookViews>
    <workbookView xWindow="15" yWindow="120" windowWidth="20475" windowHeight="11400" tabRatio="884" firstSheet="3" activeTab="10"/>
  </bookViews>
  <sheets>
    <sheet name="Sommaire" sheetId="16" r:id="rId1"/>
    <sheet name="1. Evolution sexe" sheetId="1" r:id="rId2"/>
    <sheet name="2. Flux trimestriels" sheetId="8" r:id="rId3"/>
    <sheet name="3. Evolution organisme" sheetId="15" r:id="rId4"/>
    <sheet name="4. Profils" sheetId="5" r:id="rId5"/>
    <sheet name="5. Profils" sheetId="9" r:id="rId6"/>
    <sheet name="6. Âge" sheetId="7" r:id="rId7"/>
    <sheet name="7. Régions" sheetId="4" r:id="rId8"/>
    <sheet name="8. Départements" sheetId="17" r:id="rId9"/>
    <sheet name="9. Domaines" sheetId="10" r:id="rId10"/>
    <sheet name="10. Durée missions" sheetId="14" r:id="rId11"/>
    <sheet name="11. Durée hebdomadaire" sheetId="11" r:id="rId12"/>
  </sheets>
  <definedNames>
    <definedName name="_xlnm._FilterDatabase" localSheetId="7" hidden="1">'7. Régions'!$B$3:$F$21</definedName>
    <definedName name="_xlnm._FilterDatabase" localSheetId="8" hidden="1">'8. Départements'!$B$3:$F$21</definedName>
    <definedName name="IDX" localSheetId="1">'1. Evolution sexe'!#REF!</definedName>
    <definedName name="IDX" localSheetId="2">'2. Flux trimestriels'!$B$2</definedName>
    <definedName name="IDX" localSheetId="3">'3. Evolution organisme'!#REF!</definedName>
    <definedName name="SITUATIONMPARM" localSheetId="10">#REF!</definedName>
    <definedName name="SITUATIONMPARM" localSheetId="3">#REF!</definedName>
    <definedName name="SITUATIONMPARM" localSheetId="8">#REF!</definedName>
    <definedName name="SITUATIONMPARM">#REF!</definedName>
    <definedName name="_xlnm.Print_Area" localSheetId="1">'1. Evolution sexe'!$B$2:$J$40</definedName>
    <definedName name="_xlnm.Print_Area" localSheetId="10">'10. Durée missions'!$B$2:$T$46</definedName>
    <definedName name="_xlnm.Print_Area" localSheetId="11">'11. Durée hebdomadaire'!$B$2:$I$36</definedName>
    <definedName name="_xlnm.Print_Area" localSheetId="2">'2. Flux trimestriels'!$B$2:$R$33</definedName>
    <definedName name="_xlnm.Print_Area" localSheetId="3">'3. Evolution organisme'!$B$2:$J$36</definedName>
    <definedName name="_xlnm.Print_Area" localSheetId="4">'4. Profils'!$B$2:$J$33</definedName>
    <definedName name="_xlnm.Print_Area" localSheetId="5">'5. Profils'!$B$2:$Q$41</definedName>
    <definedName name="_xlnm.Print_Area" localSheetId="6">'6. Âge'!$B$2:$I$47</definedName>
    <definedName name="_xlnm.Print_Area" localSheetId="7">'7. Régions'!$B$2:$H$54</definedName>
    <definedName name="_xlnm.Print_Area" localSheetId="8">'8. Départements'!$B$2:$N$112</definedName>
    <definedName name="_xlnm.Print_Area" localSheetId="9">'9. Domaines'!$B$2:$J$41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1" l="1"/>
  <c r="M9" i="1"/>
  <c r="M10" i="1"/>
  <c r="M7" i="1"/>
  <c r="E22" i="4" l="1"/>
  <c r="D21" i="4"/>
  <c r="D20" i="4"/>
  <c r="D19" i="4"/>
  <c r="D18" i="4"/>
  <c r="D17" i="4"/>
  <c r="D16" i="4"/>
  <c r="D15" i="4"/>
  <c r="D14" i="4"/>
  <c r="D13" i="4"/>
  <c r="D12" i="4"/>
  <c r="D11" i="4"/>
  <c r="D10" i="4"/>
  <c r="D9" i="4"/>
  <c r="D8" i="4"/>
  <c r="D7" i="4"/>
  <c r="D6" i="4"/>
  <c r="D5" i="4"/>
  <c r="D4" i="4"/>
  <c r="D109" i="17"/>
  <c r="D112" i="17"/>
  <c r="D111" i="17"/>
  <c r="D110" i="17"/>
  <c r="D105" i="17"/>
  <c r="D104" i="17"/>
  <c r="D103" i="17"/>
  <c r="D102" i="17"/>
  <c r="D101"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L13" i="10"/>
  <c r="K13" i="10"/>
  <c r="F7" i="5" l="1"/>
  <c r="F6" i="5"/>
  <c r="F5" i="5"/>
  <c r="F4" i="5"/>
  <c r="F8" i="5" s="1"/>
  <c r="E6" i="5"/>
  <c r="E7" i="5"/>
  <c r="E5" i="5"/>
  <c r="E4" i="5"/>
  <c r="D6" i="5"/>
  <c r="D7" i="5"/>
  <c r="D5" i="5"/>
  <c r="D4" i="5"/>
  <c r="C6" i="5"/>
  <c r="C7" i="5"/>
  <c r="C5" i="5"/>
  <c r="C4" i="5"/>
  <c r="E44" i="8"/>
  <c r="D44" i="8"/>
  <c r="F37" i="8"/>
  <c r="F38" i="8"/>
  <c r="F39" i="8"/>
  <c r="F40" i="8"/>
  <c r="F41" i="8"/>
  <c r="F42" i="8"/>
  <c r="F43" i="8"/>
  <c r="F36" i="8"/>
  <c r="M6" i="1"/>
  <c r="M5" i="1"/>
  <c r="L4" i="1"/>
  <c r="L12" i="1" s="1"/>
  <c r="K4" i="1"/>
  <c r="K13" i="1" s="1"/>
  <c r="E8" i="5" l="1"/>
  <c r="C8" i="5"/>
  <c r="D8" i="5"/>
  <c r="L13" i="1"/>
  <c r="M4" i="1"/>
  <c r="M12" i="1" s="1"/>
  <c r="K12" i="1"/>
  <c r="F44" i="8"/>
  <c r="J15" i="15"/>
  <c r="J16" i="15"/>
  <c r="J17" i="15"/>
  <c r="J18" i="15"/>
  <c r="J19" i="15"/>
  <c r="J14" i="15"/>
  <c r="I15" i="15"/>
  <c r="I16" i="15"/>
  <c r="I17" i="15"/>
  <c r="I18" i="15"/>
  <c r="I14" i="15"/>
  <c r="G15" i="15"/>
  <c r="H15" i="15"/>
  <c r="G16" i="15"/>
  <c r="H16" i="15"/>
  <c r="G17" i="15"/>
  <c r="H17" i="15"/>
  <c r="G18" i="15"/>
  <c r="H18" i="15"/>
  <c r="H14" i="15"/>
  <c r="G14" i="15"/>
  <c r="F15" i="15"/>
  <c r="F16" i="15"/>
  <c r="F17" i="15"/>
  <c r="F18" i="15"/>
  <c r="F14" i="15"/>
  <c r="E15" i="15"/>
  <c r="E16" i="15"/>
  <c r="E17" i="15"/>
  <c r="E18" i="15"/>
  <c r="E14" i="15"/>
  <c r="D15" i="15"/>
  <c r="D16" i="15"/>
  <c r="D17" i="15"/>
  <c r="D18" i="15"/>
  <c r="D14" i="15"/>
  <c r="C15" i="15"/>
  <c r="C16" i="15"/>
  <c r="C17" i="15"/>
  <c r="C18" i="15"/>
  <c r="C14" i="15"/>
  <c r="L9" i="15"/>
  <c r="K9" i="15"/>
  <c r="K16" i="15" s="1"/>
  <c r="M5" i="15"/>
  <c r="M6" i="15"/>
  <c r="M7" i="15"/>
  <c r="M8" i="15"/>
  <c r="M4" i="15"/>
  <c r="K19" i="15" l="1"/>
  <c r="M13" i="1"/>
  <c r="M9" i="15"/>
  <c r="M19" i="15" s="1"/>
  <c r="M18" i="15"/>
  <c r="I19" i="15"/>
  <c r="K15" i="15"/>
  <c r="D19" i="15"/>
  <c r="E19" i="15"/>
  <c r="F19" i="15"/>
  <c r="K14" i="15"/>
  <c r="K17" i="15"/>
  <c r="L18" i="15"/>
  <c r="L17" i="15"/>
  <c r="L19" i="15"/>
  <c r="C19" i="15"/>
  <c r="H19" i="15"/>
  <c r="K18" i="15"/>
  <c r="L14" i="15"/>
  <c r="L16" i="15"/>
  <c r="L15" i="15"/>
  <c r="G19" i="15"/>
  <c r="E106" i="17"/>
  <c r="D106" i="17"/>
  <c r="E100" i="17"/>
  <c r="D100" i="17"/>
  <c r="D107" i="17" s="1"/>
  <c r="D113" i="17" s="1"/>
  <c r="M14" i="15" l="1"/>
  <c r="M15" i="15"/>
  <c r="M16" i="15"/>
  <c r="M17" i="15"/>
  <c r="E107" i="17"/>
  <c r="D22" i="4"/>
  <c r="G8" i="5"/>
  <c r="G5" i="5"/>
  <c r="G6" i="5"/>
  <c r="G7" i="5"/>
  <c r="G4" i="5"/>
  <c r="E113" i="17" l="1"/>
  <c r="D26" i="14"/>
  <c r="E26" i="14"/>
  <c r="F26" i="14"/>
  <c r="G26" i="14"/>
  <c r="H26" i="14"/>
  <c r="I26" i="14"/>
  <c r="C26" i="14"/>
  <c r="I12" i="7" l="1"/>
  <c r="I13" i="7"/>
  <c r="I14" i="7"/>
  <c r="I15" i="7"/>
  <c r="I16" i="7"/>
  <c r="D12" i="7" l="1"/>
  <c r="E12" i="7"/>
  <c r="F12" i="7"/>
  <c r="G12" i="7"/>
  <c r="H12" i="7"/>
  <c r="D13" i="7"/>
  <c r="E13" i="7"/>
  <c r="F13" i="7"/>
  <c r="G13" i="7"/>
  <c r="H13" i="7"/>
  <c r="D14" i="7"/>
  <c r="E14" i="7"/>
  <c r="F14" i="7"/>
  <c r="G14" i="7"/>
  <c r="H14" i="7"/>
  <c r="D15" i="7"/>
  <c r="E15" i="7"/>
  <c r="F15" i="7"/>
  <c r="G15" i="7"/>
  <c r="H15" i="7"/>
  <c r="D16" i="7"/>
  <c r="E16" i="7"/>
  <c r="F16" i="7"/>
  <c r="G16" i="7"/>
  <c r="H16" i="7"/>
  <c r="C16" i="7"/>
  <c r="C15" i="7"/>
  <c r="C14" i="7"/>
  <c r="C13" i="7"/>
  <c r="C12" i="7"/>
</calcChain>
</file>

<file path=xl/sharedStrings.xml><?xml version="1.0" encoding="utf-8"?>
<sst xmlns="http://schemas.openxmlformats.org/spreadsheetml/2006/main" count="532" uniqueCount="361">
  <si>
    <t>Volontaires entrés dans le dispositif</t>
  </si>
  <si>
    <t>Hommes</t>
  </si>
  <si>
    <t>Femmes</t>
  </si>
  <si>
    <t>Etudiant</t>
  </si>
  <si>
    <t>Demandeur d'emploi</t>
  </si>
  <si>
    <t>Inactif (hors étudiant)</t>
  </si>
  <si>
    <t>Salarié</t>
  </si>
  <si>
    <t>Baccalauréat</t>
  </si>
  <si>
    <t>CAP-BEP</t>
  </si>
  <si>
    <t>Solidarité</t>
  </si>
  <si>
    <t>Sport</t>
  </si>
  <si>
    <t>Environnement</t>
  </si>
  <si>
    <t>Autres</t>
  </si>
  <si>
    <t>Volontaires actifs dans l'année</t>
  </si>
  <si>
    <t>Entrées en mission par an et nombre de volontaires actifs dans l'année</t>
  </si>
  <si>
    <t>Culture</t>
  </si>
  <si>
    <t>Ensemble</t>
  </si>
  <si>
    <t>Brevet ou sans diplôme</t>
  </si>
  <si>
    <t>&gt; Baccalauréat</t>
  </si>
  <si>
    <t>Guadeloupe</t>
  </si>
  <si>
    <t>Martinique</t>
  </si>
  <si>
    <t>Guyane</t>
  </si>
  <si>
    <t>La Réunion</t>
  </si>
  <si>
    <t>Mayotte</t>
  </si>
  <si>
    <t>Île-de-France</t>
  </si>
  <si>
    <t>Centre-Val de Loire</t>
  </si>
  <si>
    <t>Normandie</t>
  </si>
  <si>
    <t>Pays de la Loire</t>
  </si>
  <si>
    <t>Bretagne</t>
  </si>
  <si>
    <t>Provence-Alpes-Côte d'Azur</t>
  </si>
  <si>
    <t>Corse</t>
  </si>
  <si>
    <t>Région</t>
  </si>
  <si>
    <t>Bourgogne-Franche-Comté</t>
  </si>
  <si>
    <t>Hauts de France</t>
  </si>
  <si>
    <t>Grand-Est</t>
  </si>
  <si>
    <t>Nouvelle Aquitaine</t>
  </si>
  <si>
    <t>Occitanie</t>
  </si>
  <si>
    <t>Auvergne-Rhône-Alpes</t>
  </si>
  <si>
    <t>Effectifs en fin d'année</t>
  </si>
  <si>
    <t>24 heures</t>
  </si>
  <si>
    <t>entre 25 et 29 heures</t>
  </si>
  <si>
    <t>entre 30 et 34 heures</t>
  </si>
  <si>
    <t>35 heures et plus</t>
  </si>
  <si>
    <t>19 ans</t>
  </si>
  <si>
    <t>20 ans</t>
  </si>
  <si>
    <t>21 ans</t>
  </si>
  <si>
    <t>22 ans</t>
  </si>
  <si>
    <t>23 ans</t>
  </si>
  <si>
    <t>24 ans</t>
  </si>
  <si>
    <t>Age médian hommes</t>
  </si>
  <si>
    <t>Age médian femmes</t>
  </si>
  <si>
    <t>Santé</t>
  </si>
  <si>
    <t>Mémoire</t>
  </si>
  <si>
    <t>Total</t>
  </si>
  <si>
    <t>16-18 ans</t>
  </si>
  <si>
    <t>25 ans et +</t>
  </si>
  <si>
    <t>Répartition des volontaires par age, selon l'année d'entrée (en %)</t>
  </si>
  <si>
    <t xml:space="preserve">Entrées en mission de Service Civique par trimestre </t>
  </si>
  <si>
    <t>Répartition des volontaires par année d'entrée, selon leur statut (en %)</t>
  </si>
  <si>
    <t>Brevet ou non diplômé</t>
  </si>
  <si>
    <t>Intervention d'urgence</t>
  </si>
  <si>
    <t>Répartition des missions de Service Civique par durée hebdomadaire prévue, selon l'année d'entrée</t>
  </si>
  <si>
    <t>Education pour tous</t>
  </si>
  <si>
    <t>Développement international</t>
  </si>
  <si>
    <t>Evolution de la répartition des missions principales par domaine (en %), selon l'année d'entrée</t>
  </si>
  <si>
    <t>Répartition des missions principales par domaine (en %), selon l'année d'entrée</t>
  </si>
  <si>
    <t xml:space="preserve">Flux d'entrées en mission de Service Civique par trimestre </t>
  </si>
  <si>
    <t>T1</t>
  </si>
  <si>
    <t>T2</t>
  </si>
  <si>
    <t>T3</t>
  </si>
  <si>
    <t>T4</t>
  </si>
  <si>
    <t>19-20 ans</t>
  </si>
  <si>
    <t>21-22 ans</t>
  </si>
  <si>
    <t>23-24 ans</t>
  </si>
  <si>
    <t>Répartition des volontaires par âge, selon l'année d'entrée (en %)</t>
  </si>
  <si>
    <t>Durée moyenne des missions</t>
  </si>
  <si>
    <t>Durée moyenne des missions rompues</t>
  </si>
  <si>
    <t>Durée moyenne des missions non rompues</t>
  </si>
  <si>
    <t>Abandon de poste</t>
  </si>
  <si>
    <t>Faute grave d'une des parties</t>
  </si>
  <si>
    <t>Force majeure</t>
  </si>
  <si>
    <t>Commun accord entre les parties</t>
  </si>
  <si>
    <t>Répartition des missions rompues par motif (%)</t>
  </si>
  <si>
    <t>Durée moyenne des missions (mois)</t>
  </si>
  <si>
    <t>Part totale des missions rompues</t>
  </si>
  <si>
    <t>Part et répartition des missions rompues par motif (%)</t>
  </si>
  <si>
    <t>Autres motifs (*)</t>
  </si>
  <si>
    <t>Embauche en CDD  ou CDI</t>
  </si>
  <si>
    <t xml:space="preserve">dont : </t>
  </si>
  <si>
    <t>Associations</t>
  </si>
  <si>
    <t>Collectivités territoriales</t>
  </si>
  <si>
    <t>Entrées en mission par an selon le type d'organisme</t>
  </si>
  <si>
    <t>Année de fin de mission</t>
  </si>
  <si>
    <t>6 mois</t>
  </si>
  <si>
    <t>7 mois</t>
  </si>
  <si>
    <t>8 mois</t>
  </si>
  <si>
    <t>9 mois</t>
  </si>
  <si>
    <t>10 mois</t>
  </si>
  <si>
    <t>11 ou 12 mois</t>
  </si>
  <si>
    <t>Répartition des missions par durée (%)</t>
  </si>
  <si>
    <t>Répartition des missions menées à leur terme, par durée (%)</t>
  </si>
  <si>
    <t>(*) : Le volontaire n'a jamais pris son poste, retrait de l'agrément de la structure d'accueil, ou reprise d'études</t>
  </si>
  <si>
    <t>Services de l’Etat</t>
  </si>
  <si>
    <t>Etablissements publics</t>
  </si>
  <si>
    <t>Sommaire</t>
  </si>
  <si>
    <t>1. Evolution des effectifs en fonction du sexe</t>
  </si>
  <si>
    <t>01</t>
  </si>
  <si>
    <t>02</t>
  </si>
  <si>
    <t>03</t>
  </si>
  <si>
    <t>04</t>
  </si>
  <si>
    <t>06</t>
  </si>
  <si>
    <t>11</t>
  </si>
  <si>
    <t>24</t>
  </si>
  <si>
    <t>27</t>
  </si>
  <si>
    <t>28</t>
  </si>
  <si>
    <t>32</t>
  </si>
  <si>
    <t>52</t>
  </si>
  <si>
    <t>53</t>
  </si>
  <si>
    <t>75</t>
  </si>
  <si>
    <t>76</t>
  </si>
  <si>
    <t>84</t>
  </si>
  <si>
    <t>93</t>
  </si>
  <si>
    <t>94</t>
  </si>
  <si>
    <t>44</t>
  </si>
  <si>
    <t>Ain</t>
  </si>
  <si>
    <t>Aisne</t>
  </si>
  <si>
    <t>Allier</t>
  </si>
  <si>
    <t>Alpes-de-Haute-Provence</t>
  </si>
  <si>
    <t>05</t>
  </si>
  <si>
    <t>Hautes-Alpes</t>
  </si>
  <si>
    <t>Alpes-Maritimes</t>
  </si>
  <si>
    <t>07</t>
  </si>
  <si>
    <t>Ardèche</t>
  </si>
  <si>
    <t>08</t>
  </si>
  <si>
    <t>Ardennes</t>
  </si>
  <si>
    <t>09</t>
  </si>
  <si>
    <t>Ariège</t>
  </si>
  <si>
    <t>10</t>
  </si>
  <si>
    <t>Aube</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</si>
  <si>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</si>
  <si>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</si>
  <si>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</si>
  <si>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</si>
  <si>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</si>
  <si>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</si>
  <si>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</si>
  <si>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</si>
  <si>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</si>
  <si>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</si>
  <si>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</si>
  <si>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</si>
  <si>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</si>
  <si>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</si>
  <si>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</si>
  <si>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</si>
  <si>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</si>
  <si>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</si>
  <si>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</si>
  <si>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</si>
  <si>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</si>
  <si>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</si>
  <si>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</si>
  <si>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</si>
  <si>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</si>
  <si>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</si>
  <si>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</si>
  <si>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</si>
  <si>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</si>
  <si>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</si>
  <si>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</si>
  <si>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</si>
  <si>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</si>
  <si>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</si>
  <si>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</si>
  <si>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</si>
  <si>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</si>
  <si>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</si>
  <si>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</si>
  <si>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</si>
  <si>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</si>
  <si>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</si>
  <si>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</si>
  <si>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</si>
  <si>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</si>
  <si>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</si>
  <si>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</si>
  <si>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</si>
  <si>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</si>
  <si>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</si>
  <si>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</si>
  <si>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</si>
  <si>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</si>
  <si>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</si>
  <si>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</si>
  <si>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</si>
  <si>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</si>
  <si>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</si>
  <si>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</si>
  <si>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</si>
  <si>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</si>
  <si>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</si>
  <si>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</si>
  <si>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</si>
  <si>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</si>
  <si>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</si>
  <si>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</si>
  <si>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</si>
  <si>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</si>
  <si>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</si>
  <si>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</si>
  <si>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</si>
  <si>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</si>
  <si>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</si>
  <si>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</si>
  <si>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</si>
  <si>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</si>
  <si>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</si>
  <si>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</si>
  <si>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</si>
  <si>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</si>
  <si>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</si>
  <si>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</si>
  <si>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</si>
  <si>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</si>
  <si>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</si>
  <si>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</si>
  <si>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</si>
  <si>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</si>
  <si>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</si>
  <si>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</si>
  <si>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</si>
  <si>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</si>
  <si>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</si>
  <si>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</si>
  <si>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</si>
  <si>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</si>
  <si>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</si>
  <si>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</si>
  <si>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</si>
  <si>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</si>
  <si>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</si>
  <si>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</si>
  <si>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</si>
  <si>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</si>
  <si>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</si>
  <si>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</si>
  <si>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</si>
  <si>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</si>
  <si>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</si>
  <si>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</si>
  <si>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</si>
  <si>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</si>
  <si>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</si>
  <si>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</si>
  <si>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</si>
  <si>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</si>
  <si>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</si>
  <si>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</si>
  <si>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</si>
  <si>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</si>
  <si>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</si>
  <si>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</si>
  <si>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</si>
  <si>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</si>
  <si>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</si>
  <si>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</si>
  <si>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</si>
  <si>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</si>
  <si>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</si>
  <si>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</si>
  <si>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</si>
  <si>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</si>
  <si>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</si>
  <si>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</si>
  <si>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</si>
  <si>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</si>
  <si>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</si>
  <si>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</si>
  <si>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</si>
  <si>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</si>
  <si>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</si>
  <si>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</si>
  <si>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</si>
  <si>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</si>
  <si>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</si>
  <si>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</si>
  <si>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</si>
  <si>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</si>
  <si>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</si>
  <si>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</si>
  <si>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</si>
  <si>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</si>
  <si>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</si>
  <si>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</si>
  <si>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</si>
  <si>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</si>
  <si>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</si>
  <si>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</si>
  <si>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 xml:space="preserve">Guadeloupe </t>
  </si>
  <si>
    <t xml:space="preserve">Martinique </t>
  </si>
  <si>
    <t>Wallis-et-Futuna</t>
  </si>
  <si>
    <t>Polynésie française</t>
  </si>
  <si>
    <t>Nouvelle-Calédonie</t>
  </si>
  <si>
    <t>Département</t>
  </si>
  <si>
    <t>Retour au sommaire</t>
  </si>
  <si>
    <r>
      <t xml:space="preserve">Répartition des volontaires par année d'entrée, selon leur niveau de </t>
    </r>
    <r>
      <rPr>
        <b/>
        <sz val="10"/>
        <color rgb="FFFF0000"/>
        <rFont val="Calibri"/>
        <family val="2"/>
        <scheme val="minor"/>
      </rPr>
      <t>diplôme</t>
    </r>
    <r>
      <rPr>
        <b/>
        <sz val="10"/>
        <color theme="1"/>
        <rFont val="Calibri"/>
        <family val="2"/>
        <scheme val="minor"/>
      </rPr>
      <t xml:space="preserve"> (en %)</t>
    </r>
  </si>
  <si>
    <t>Part des hommes et des femmes parmi les volontaires entrées dans le dispositif (en %)</t>
  </si>
  <si>
    <t>Durée moyenne (en heures)</t>
  </si>
  <si>
    <t>Répartition des volontaires par année d'entrée, selon leur statut (en %) et selon leur niveau de diplôme</t>
  </si>
  <si>
    <t>Stock en fin de trimestre</t>
  </si>
  <si>
    <t>Total France Métro</t>
  </si>
  <si>
    <t>Total DROM</t>
  </si>
  <si>
    <t>Total France Métro + DROM</t>
  </si>
  <si>
    <t>Total France entière</t>
  </si>
  <si>
    <t>Saint-Martin</t>
  </si>
  <si>
    <t>Répartition des missions de Service Civique par durée hebdomadaire prévue, selon l'année d'entrée (en %)</t>
  </si>
  <si>
    <t>2. Flux trimestriels</t>
  </si>
  <si>
    <t>3. Evolution des effectifs en fonction du type d'organisme</t>
  </si>
  <si>
    <t>4. Profils des volontaires, diplômes et activité</t>
  </si>
  <si>
    <t>5. Evolution du profil des volontaires</t>
  </si>
  <si>
    <t>6. Age des volontaires</t>
  </si>
  <si>
    <t>7. Répartition par régions</t>
  </si>
  <si>
    <t>8. Répartition par départements</t>
  </si>
  <si>
    <t>Proportion en pourcentage des entrées en mission par an selon le type d'organisme</t>
  </si>
  <si>
    <t>Nombre d’entrées en mission de service civique selon l’année et le type d’organisme</t>
  </si>
  <si>
    <t>Répartition des volontaires (2010-2019) par situation, selon leur niveau de diplôme</t>
  </si>
  <si>
    <t>Répartition des volontaires (2010-2019) par situation, 
selon leur niveau de diplôme</t>
  </si>
  <si>
    <t>Répartition par département des missions (2010 à 2019)</t>
  </si>
  <si>
    <t>Nombre de missions
 (2010 à 2019)</t>
  </si>
  <si>
    <t>Saint-Pierre-et-Miquelon</t>
  </si>
  <si>
    <t>Répartition par région des missions (2010 à 2019)</t>
  </si>
  <si>
    <t>Nombre de missions
 (2019)</t>
  </si>
  <si>
    <t>Nombre de mission pour 
10 000 jeunes (2019)</t>
  </si>
  <si>
    <t>Lecture : Plus de 140 000 volontaires ont été actifs dans une mission de Service Civique au cours de l’année 2019. Parmi eux, 81 000 volontaires, dont 31 000 hommes, ont débuté leur mission au cours de l'année.</t>
  </si>
  <si>
    <r>
      <t>Lecture :  36 000 volontaires sont entrés en Service Civique au 4</t>
    </r>
    <r>
      <rPr>
        <vertAlign val="superscript"/>
        <sz val="8"/>
        <color theme="1"/>
        <rFont val="Calibri"/>
        <family val="2"/>
        <scheme val="minor"/>
      </rPr>
      <t>e</t>
    </r>
    <r>
      <rPr>
        <sz val="8"/>
        <color theme="1"/>
        <rFont val="Calibri"/>
        <family val="2"/>
        <scheme val="minor"/>
      </rPr>
      <t xml:space="preserve"> trimestre 2019, parmi lesquels environ 14 000 étaient des hommes</t>
    </r>
  </si>
  <si>
    <r>
      <t>Lecture :  36 164 volontaires sont entrés en Service Civique au 4</t>
    </r>
    <r>
      <rPr>
        <vertAlign val="superscript"/>
        <sz val="8"/>
        <color theme="1"/>
        <rFont val="Calibri"/>
        <family val="2"/>
        <scheme val="minor"/>
      </rPr>
      <t>e</t>
    </r>
    <r>
      <rPr>
        <sz val="8"/>
        <color theme="1"/>
        <rFont val="Calibri"/>
        <family val="2"/>
        <scheme val="minor"/>
      </rPr>
      <t xml:space="preserve"> trimestre 2019, parmi lesquels 21 785 étaient des femmes et 14 379 des hommes.</t>
    </r>
  </si>
  <si>
    <t>Lecture : en 2019, 81 000 missions ont débuté. 51 000 d’entre elles ont eu lieu dans une association, 5 000 dans une collectivité territoriale, 8 000 dans un établissement public, et 16 000 dans un service de l’État.</t>
  </si>
  <si>
    <t>Lecture : De 2010 à 2019, 132 007 volontaires étaient étudiants et diplômés du supérieur lors de leur entré en mission.</t>
  </si>
  <si>
    <t>Lecture : 31% des volontaires du niveau baccalauréat sont étudiants, 4% salariés, 45% demandeurs d’emploi et 20% inactifs.</t>
  </si>
  <si>
    <t>Lecture : 32 % des volontaires ayant débuté leur mission en 2019 étaient alors étudiants. 17 % des volontaires de cette même année n'avaient pas de diplôme ou seulement le brevet. Du fait des arrondis, la somme des lignes ne fait pas toujours 100.</t>
  </si>
  <si>
    <t>Lecture : La part des inactifs parmi les volontaires a augmenté. Ils représentaient 13 % des nouveaux volontaires en 2011, et 24 % en 2019.</t>
  </si>
  <si>
    <t>Lecture : La part des diplômés du supérieur parmi les volontaires a diminué. Ils représentaient 42 % des nouveaux volontaires en 2011, et 33 % en 2019.</t>
  </si>
  <si>
    <t>Lecture : Parmi les volontaires ayant débuté en 2019, 16 % étaient âgés de 19 ans, et 32 % étaient âgés de 19 à 20 ans. L'âge médian des hommes ainsi que celui des femmes est 21 ans. Du fait des arrondis, la somme des lignes ne fait pas toujours 100.</t>
  </si>
  <si>
    <t>Lecture : La part des 16-18 ans parmi les volontaires a augmenté. Ils représentaient 10 % des nouveaux volontaires en 2011, et 21 % en 2019.</t>
  </si>
  <si>
    <t>Lecture : De 2010 à 2019, 58 000 volontaires résidant en Île-de-France ont effectué une mission de Service Civique, dont près de 11 000 en 2019, ce qui représente, cette année-là, 71 mission pour 10 000 jeunes de 15 à 24 ans habitant la région.</t>
  </si>
  <si>
    <t>Lecture : De 2010 à 2019, 2147 volontaires résidant dans l'Ain ont effectué une mission de Service Civique, dont près de 327 en 2019, ce qui représente, cette année-là, 47 mission pour 10 000 jeunes de 15 à 24 ans habitant le département.</t>
  </si>
  <si>
    <t>Lecture : 29 % des missions débutées en 2019 relevaient du domaine de la solidarité. Du fait des arrondis, la somme des lignes ne fait pas toujours 100.</t>
  </si>
  <si>
    <t>Lecture : La part des missions de l'environnement a diminué régulièrement, elle concentre 6% des missions en 2019</t>
  </si>
  <si>
    <t>Lecture : Les missions qui se sont terminées en 2019 ont duré en moyenne 6,4 mois (3,9 mois pour les missions interrompues avant leur terme).</t>
  </si>
  <si>
    <t>Lecture : La proportion des missions de 8 mois parmi les missions menées à leur terme atteignait 15 % en 2017, contre 6 % en 2011.</t>
  </si>
  <si>
    <t>Lecture : 22,4% des missions terminées en 2019 ont été rompues avant le terme initialement prévu, dont 6,7 points suite à un commun accord entre les parties.</t>
  </si>
  <si>
    <t>Lecture : La part des missions de 8 mois parmi les missions menées à leur terme atteignait 15 % en 2019, contre 6 % en 2011.</t>
  </si>
  <si>
    <t>Lecture : Pour 51 % des missions débutées en 2019, la durée hebdomadaire prévue dans le contrat était de 24h. Du fait des arrondis, la somme des lignes ne fait pas toujours 100.</t>
  </si>
  <si>
    <t>Lecture : Pour 51 % des missions débutées en 2019, la durée hebdomadaire prévue dans le contrat était de 24h.</t>
  </si>
  <si>
    <t>Nombre de volontaires pour 10 000 jeunes de 15 à 24 ans</t>
  </si>
  <si>
    <t>Lecture : En 2019, 327 volontaires résidant dans l'Ain ont effectué une mission de Service Civique, ce qui représente, cette année-là, 47 mission pour 10 000 jeunes de 15 à 24 ans habitant le département.</t>
  </si>
  <si>
    <t>Lecture : En 2019, plus de 11 000 volontaires résidant en Île-de-France ont effectué une mission de Service Civique,  soit 71 mission pour 10 000 jeunes de 15 à 24 ans habitant la région.</t>
  </si>
  <si>
    <t>Source : ASP-ASC, traitements INJEP,MEDES.</t>
  </si>
  <si>
    <t>9. Evolution domaines des missions</t>
  </si>
  <si>
    <t>10. Durée des missions</t>
  </si>
  <si>
    <t>11. Durée hebdomadaire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</si>
</sst>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
  </numFmts>
  <fonts count="28"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9"/>
      <color theme="8" tint="-0.249977111117893"/>
      <name val="Calibri"/>
      <family val="2"/>
      <scheme val="minor"/>
    </font>
    <font>
      <b/>
      <sz val="8"/>
      <color theme="1"/>
      <name val="Calibri"/>
      <family val="2"/>
      <scheme val="minor"/>
    </font>
    <font>
      <sz val="8"/>
      <color theme="1"/>
      <name val="Calibri"/>
      <family val="2"/>
      <scheme val="minor"/>
    </font>
    <font>
      <b/>
      <sz val="12"/>
      <color rgb="FFFF0000"/>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b/>
      <sz val="10"/>
      <color theme="1"/>
      <name val="Calibri"/>
      <family val="2"/>
      <scheme val="minor"/>
    </font>
    <font>
      <sz val="10"/>
      <color theme="1"/>
      <name val="Calibri"/>
      <family val="2"/>
      <scheme val="minor"/>
    </font>
    <font>
      <vertAlign val="superscript"/>
      <sz val="8"/>
      <color theme="1"/>
      <name val="Calibri"/>
      <family val="2"/>
      <scheme val="minor"/>
    </font>
    <font>
      <sz val="10"/>
      <name val="MS Sans Serif"/>
      <family val="2"/>
    </font>
    <font>
      <sz val="10"/>
      <name val="Arial"/>
      <family val="2"/>
    </font>
    <font>
      <sz val="8"/>
      <name val="Calibri"/>
      <family val="2"/>
      <scheme val="minor"/>
    </font>
    <font>
      <b/>
      <sz val="10"/>
      <name val="Calibri"/>
      <family val="2"/>
      <scheme val="minor"/>
    </font>
    <font>
      <u/>
      <sz val="11"/>
      <color theme="10"/>
      <name val="Calibri"/>
      <family val="2"/>
      <scheme val="minor"/>
    </font>
    <font>
      <b/>
      <sz val="11"/>
      <color theme="1"/>
      <name val="Calibri"/>
      <family val="2"/>
      <scheme val="minor"/>
    </font>
    <font>
      <b/>
      <sz val="10"/>
      <color rgb="FFFF0000"/>
      <name val="Calibri"/>
      <family val="2"/>
      <scheme val="minor"/>
    </font>
    <font>
      <b/>
      <sz val="9"/>
      <color rgb="FFFF0000"/>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15" fillId="0" borderId="0"/>
    <xf numFmtId="0" fontId="16" fillId="0" borderId="0"/>
    <xf numFmtId="0" fontId="19" fillId="0" borderId="0" applyNumberFormat="0" applyFill="0" applyBorder="0" applyAlignment="0" applyProtection="0"/>
  </cellStyleXfs>
  <cellXfs count="199">
    <xf numFmtId="0" fontId="0" fillId="0" borderId="0" xfId="0"/>
    <xf numFmtId="0" fontId="2" fillId="0" borderId="0" xfId="0" applyFont="1"/>
    <xf numFmtId="3" fontId="2" fillId="0" borderId="0" xfId="0" applyNumberFormat="1" applyFont="1"/>
    <xf numFmtId="1" fontId="2" fillId="0" borderId="0" xfId="0" applyNumberFormat="1" applyFont="1"/>
    <xf numFmtId="0" fontId="5" fillId="0" borderId="0" xfId="0" applyFont="1"/>
    <xf numFmtId="3" fontId="0" fillId="0" borderId="0" xfId="0" applyNumberFormat="1"/>
    <xf numFmtId="0" fontId="7" fillId="0" borderId="0" xfId="0" applyFont="1"/>
    <xf numFmtId="0" fontId="1" fillId="0" borderId="0" xfId="0" applyFont="1"/>
    <xf numFmtId="0" fontId="8"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right" vertical="center"/>
    </xf>
    <xf numFmtId="3"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3" fontId="2" fillId="0" borderId="0" xfId="0" applyNumberFormat="1" applyFont="1" applyAlignment="1">
      <alignment vertical="center"/>
    </xf>
    <xf numFmtId="0" fontId="1" fillId="0" borderId="1" xfId="0" applyFont="1" applyBorder="1" applyAlignment="1">
      <alignment vertical="center"/>
    </xf>
    <xf numFmtId="0" fontId="1" fillId="0" borderId="2" xfId="0" applyFont="1" applyFill="1" applyBorder="1" applyAlignment="1">
      <alignment horizontal="center" vertical="center"/>
    </xf>
    <xf numFmtId="0" fontId="2" fillId="0" borderId="0" xfId="0" applyFont="1" applyFill="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Fill="1" applyBorder="1"/>
    <xf numFmtId="1" fontId="2" fillId="0" borderId="0" xfId="0" applyNumberFormat="1" applyFont="1" applyFill="1"/>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 fontId="2" fillId="0" borderId="1" xfId="0" applyNumberFormat="1" applyFont="1" applyFill="1" applyBorder="1"/>
    <xf numFmtId="0" fontId="6" fillId="0" borderId="0" xfId="0" applyFont="1"/>
    <xf numFmtId="0" fontId="1" fillId="0" borderId="2" xfId="0" applyFont="1" applyBorder="1"/>
    <xf numFmtId="3" fontId="1" fillId="0" borderId="2" xfId="0" applyNumberFormat="1" applyFont="1" applyBorder="1"/>
    <xf numFmtId="0" fontId="2" fillId="0" borderId="2"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1" fillId="0" borderId="0" xfId="0" applyFont="1" applyFill="1" applyAlignment="1">
      <alignment vertical="center"/>
    </xf>
    <xf numFmtId="9" fontId="2" fillId="0" borderId="0" xfId="1" applyFont="1"/>
    <xf numFmtId="0" fontId="10" fillId="0" borderId="0" xfId="0" applyFont="1"/>
    <xf numFmtId="9" fontId="11" fillId="0" borderId="0" xfId="1" applyFont="1"/>
    <xf numFmtId="0" fontId="1" fillId="0" borderId="0" xfId="0" applyFont="1" applyFill="1" applyBorder="1" applyAlignment="1">
      <alignment vertical="center"/>
    </xf>
    <xf numFmtId="0" fontId="1" fillId="0" borderId="1" xfId="0" applyFont="1" applyFill="1" applyBorder="1"/>
    <xf numFmtId="0" fontId="12" fillId="0" borderId="0" xfId="0" applyFont="1" applyAlignment="1">
      <alignment vertical="center"/>
    </xf>
    <xf numFmtId="0" fontId="13" fillId="0" borderId="0" xfId="0" applyFont="1" applyAlignment="1">
      <alignment vertical="center"/>
    </xf>
    <xf numFmtId="0" fontId="13" fillId="0" borderId="0" xfId="0" applyFont="1"/>
    <xf numFmtId="0" fontId="12" fillId="0" borderId="0" xfId="0" applyFont="1"/>
    <xf numFmtId="3" fontId="4" fillId="0" borderId="0" xfId="0" applyNumberFormat="1" applyFont="1" applyAlignment="1">
      <alignment vertical="center"/>
    </xf>
    <xf numFmtId="3" fontId="4" fillId="0" borderId="1" xfId="0" applyNumberFormat="1" applyFont="1" applyBorder="1" applyAlignment="1">
      <alignment vertical="center"/>
    </xf>
    <xf numFmtId="0" fontId="1" fillId="0" borderId="0" xfId="0" applyFont="1" applyBorder="1" applyAlignment="1">
      <alignment horizontal="center" vertical="center"/>
    </xf>
    <xf numFmtId="0" fontId="2" fillId="0" borderId="3" xfId="0" applyFont="1" applyFill="1" applyBorder="1"/>
    <xf numFmtId="0" fontId="2" fillId="0" borderId="4" xfId="0" applyFont="1" applyFill="1" applyBorder="1"/>
    <xf numFmtId="1" fontId="2" fillId="0" borderId="3" xfId="0" applyNumberFormat="1" applyFont="1" applyBorder="1" applyAlignment="1">
      <alignment horizontal="center"/>
    </xf>
    <xf numFmtId="1" fontId="2" fillId="0" borderId="0" xfId="0" applyNumberFormat="1" applyFont="1" applyBorder="1" applyAlignment="1">
      <alignment horizontal="center"/>
    </xf>
    <xf numFmtId="1" fontId="2" fillId="0" borderId="4" xfId="0" applyNumberFormat="1" applyFont="1" applyBorder="1" applyAlignment="1">
      <alignment horizontal="center"/>
    </xf>
    <xf numFmtId="1" fontId="1" fillId="0" borderId="1" xfId="0" applyNumberFormat="1" applyFont="1" applyFill="1" applyBorder="1" applyAlignment="1">
      <alignment horizontal="center"/>
    </xf>
    <xf numFmtId="0" fontId="2" fillId="0" borderId="0" xfId="0" applyFont="1" applyAlignment="1">
      <alignment vertical="center" wrapText="1"/>
    </xf>
    <xf numFmtId="0" fontId="1" fillId="0" borderId="1" xfId="0" applyFont="1" applyBorder="1" applyAlignment="1">
      <alignment vertical="center" wrapText="1"/>
    </xf>
    <xf numFmtId="1" fontId="2" fillId="0" borderId="3" xfId="0" applyNumberFormat="1" applyFont="1" applyBorder="1"/>
    <xf numFmtId="1" fontId="2" fillId="0" borderId="0" xfId="0" applyNumberFormat="1" applyFont="1" applyBorder="1"/>
    <xf numFmtId="1" fontId="2" fillId="0" borderId="1" xfId="0" applyNumberFormat="1" applyFont="1" applyBorder="1"/>
    <xf numFmtId="3" fontId="1" fillId="0" borderId="1" xfId="0" applyNumberFormat="1" applyFont="1" applyBorder="1" applyAlignment="1">
      <alignment vertical="center"/>
    </xf>
    <xf numFmtId="0" fontId="17" fillId="0" borderId="0" xfId="0" applyFont="1"/>
    <xf numFmtId="0" fontId="18" fillId="0" borderId="0" xfId="0" applyFont="1" applyAlignment="1">
      <alignment vertical="center"/>
    </xf>
    <xf numFmtId="164" fontId="2" fillId="0" borderId="0" xfId="0" applyNumberFormat="1" applyFont="1" applyAlignment="1">
      <alignment vertical="center"/>
    </xf>
    <xf numFmtId="164" fontId="2" fillId="0" borderId="1" xfId="0" applyNumberFormat="1" applyFont="1" applyBorder="1" applyAlignment="1">
      <alignment vertical="center"/>
    </xf>
    <xf numFmtId="164" fontId="1" fillId="0" borderId="1" xfId="0" applyNumberFormat="1" applyFont="1" applyBorder="1" applyAlignment="1">
      <alignment vertical="center"/>
    </xf>
    <xf numFmtId="164" fontId="2" fillId="0" borderId="0" xfId="0" applyNumberFormat="1" applyFont="1" applyBorder="1" applyAlignment="1">
      <alignment vertical="center"/>
    </xf>
    <xf numFmtId="0" fontId="2" fillId="0" borderId="2" xfId="0" applyFont="1" applyBorder="1" applyAlignment="1">
      <alignment vertical="center" wrapText="1"/>
    </xf>
    <xf numFmtId="0" fontId="2" fillId="0" borderId="0" xfId="0" applyFont="1" applyAlignment="1">
      <alignment wrapText="1"/>
    </xf>
    <xf numFmtId="0" fontId="2" fillId="0" borderId="0" xfId="0" applyFont="1" applyBorder="1"/>
    <xf numFmtId="0" fontId="13" fillId="0" borderId="0" xfId="0" applyFont="1" applyBorder="1" applyAlignment="1">
      <alignment vertical="center"/>
    </xf>
    <xf numFmtId="164" fontId="13" fillId="0" borderId="0" xfId="0" applyNumberFormat="1" applyFont="1" applyBorder="1" applyAlignment="1">
      <alignment vertical="center"/>
    </xf>
    <xf numFmtId="0" fontId="2" fillId="0" borderId="1" xfId="0" applyFont="1" applyBorder="1" applyAlignment="1">
      <alignment horizontal="left" vertical="center" indent="2"/>
    </xf>
    <xf numFmtId="0" fontId="2" fillId="0" borderId="0" xfId="0" applyFont="1" applyBorder="1" applyAlignment="1">
      <alignment horizontal="left" vertical="center" indent="2"/>
    </xf>
    <xf numFmtId="0" fontId="7" fillId="0" borderId="3" xfId="0" applyFont="1" applyBorder="1" applyAlignment="1"/>
    <xf numFmtId="0" fontId="7" fillId="0" borderId="0" xfId="0" applyFont="1" applyAlignment="1"/>
    <xf numFmtId="0" fontId="12" fillId="0" borderId="2" xfId="0" applyFont="1" applyBorder="1" applyAlignment="1">
      <alignment vertical="center"/>
    </xf>
    <xf numFmtId="164" fontId="12" fillId="0" borderId="2" xfId="0" applyNumberFormat="1" applyFont="1" applyBorder="1" applyAlignment="1">
      <alignment vertical="center"/>
    </xf>
    <xf numFmtId="0" fontId="7" fillId="0" borderId="0" xfId="0" applyFont="1" applyAlignment="1">
      <alignment horizontal="left" vertical="top" wrapText="1"/>
    </xf>
    <xf numFmtId="9" fontId="0" fillId="0" borderId="0" xfId="1" applyNumberFormat="1" applyFont="1"/>
    <xf numFmtId="0" fontId="0" fillId="0" borderId="0" xfId="0"/>
    <xf numFmtId="1" fontId="0" fillId="0" borderId="0" xfId="0" applyNumberFormat="1"/>
    <xf numFmtId="3" fontId="2" fillId="0" borderId="0" xfId="0" applyNumberFormat="1" applyFont="1" applyBorder="1"/>
    <xf numFmtId="0" fontId="0" fillId="0" borderId="0" xfId="0"/>
    <xf numFmtId="0" fontId="1" fillId="0" borderId="2" xfId="0" applyNumberFormat="1" applyFont="1" applyFill="1" applyBorder="1" applyAlignment="1">
      <alignment horizontal="center" vertical="center"/>
    </xf>
    <xf numFmtId="0" fontId="7" fillId="0" borderId="0" xfId="0" applyFont="1" applyAlignment="1">
      <alignment horizontal="left" vertical="top" wrapText="1"/>
    </xf>
    <xf numFmtId="0" fontId="0" fillId="0" borderId="0" xfId="0"/>
    <xf numFmtId="0" fontId="0" fillId="0" borderId="0" xfId="0"/>
    <xf numFmtId="164" fontId="0" fillId="0" borderId="0" xfId="0" applyNumberFormat="1"/>
    <xf numFmtId="0" fontId="2" fillId="0" borderId="6" xfId="0" applyFont="1" applyBorder="1" applyAlignment="1">
      <alignment horizontal="center" vertical="center"/>
    </xf>
    <xf numFmtId="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 fontId="2" fillId="0" borderId="1" xfId="0" applyNumberFormat="1" applyFont="1" applyBorder="1" applyAlignment="1">
      <alignment horizontal="center" vertical="center"/>
    </xf>
    <xf numFmtId="0" fontId="2" fillId="0" borderId="11" xfId="0" applyFont="1" applyBorder="1" applyAlignment="1">
      <alignment horizontal="center" vertical="center"/>
    </xf>
    <xf numFmtId="164" fontId="0" fillId="0" borderId="0" xfId="0" applyNumberFormat="1"/>
    <xf numFmtId="0" fontId="0" fillId="0" borderId="0" xfId="0"/>
    <xf numFmtId="0" fontId="0" fillId="0" borderId="0" xfId="0"/>
    <xf numFmtId="164" fontId="0" fillId="0" borderId="0" xfId="0" applyNumberFormat="1"/>
    <xf numFmtId="1" fontId="2" fillId="0" borderId="0" xfId="0" applyNumberFormat="1" applyFont="1" applyBorder="1" applyAlignment="1">
      <alignment vertical="center"/>
    </xf>
    <xf numFmtId="1" fontId="2" fillId="0" borderId="1" xfId="0" applyNumberFormat="1" applyFont="1" applyBorder="1" applyAlignment="1">
      <alignment vertical="center"/>
    </xf>
    <xf numFmtId="0" fontId="1" fillId="0" borderId="5" xfId="0" applyFont="1" applyBorder="1" applyAlignment="1">
      <alignment horizontal="center" vertical="center"/>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2" fillId="0" borderId="6" xfId="0" applyFont="1" applyBorder="1" applyAlignment="1">
      <alignment vertical="center"/>
    </xf>
    <xf numFmtId="49" fontId="2" fillId="0" borderId="9" xfId="0" applyNumberFormat="1" applyFont="1" applyBorder="1" applyAlignment="1">
      <alignment vertical="center"/>
    </xf>
    <xf numFmtId="0" fontId="2" fillId="0" borderId="7" xfId="0" applyFont="1" applyBorder="1" applyAlignment="1">
      <alignment vertical="center"/>
    </xf>
    <xf numFmtId="49" fontId="2" fillId="0" borderId="10" xfId="0" applyNumberFormat="1" applyFont="1" applyBorder="1" applyAlignment="1">
      <alignment vertical="center"/>
    </xf>
    <xf numFmtId="0" fontId="1" fillId="0" borderId="8" xfId="0" applyFont="1" applyBorder="1" applyAlignment="1">
      <alignment horizontal="center" vertical="center"/>
    </xf>
    <xf numFmtId="1" fontId="2"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3" fontId="2" fillId="0" borderId="12"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19" fillId="0" borderId="0" xfId="4"/>
    <xf numFmtId="0" fontId="20" fillId="0" borderId="0" xfId="0" applyFont="1"/>
    <xf numFmtId="3" fontId="3" fillId="0" borderId="0" xfId="0" applyNumberFormat="1" applyFont="1" applyBorder="1" applyAlignment="1">
      <alignment vertical="center"/>
    </xf>
    <xf numFmtId="0" fontId="3" fillId="0" borderId="0" xfId="0" applyFont="1" applyBorder="1" applyAlignment="1">
      <alignment horizontal="left" vertical="center"/>
    </xf>
    <xf numFmtId="0" fontId="4" fillId="0" borderId="1" xfId="0" applyFont="1" applyBorder="1" applyAlignment="1">
      <alignment horizontal="left" vertical="center"/>
    </xf>
    <xf numFmtId="0" fontId="10" fillId="0" borderId="0" xfId="0" quotePrefix="1" applyFont="1"/>
    <xf numFmtId="2" fontId="2" fillId="0" borderId="0" xfId="0" applyNumberFormat="1" applyFont="1"/>
    <xf numFmtId="0" fontId="11" fillId="0" borderId="0" xfId="0" applyFont="1"/>
    <xf numFmtId="0" fontId="22" fillId="0" borderId="0" xfId="0" applyFont="1" applyFill="1" applyBorder="1" applyAlignment="1">
      <alignment horizontal="center" vertical="center" wrapText="1"/>
    </xf>
    <xf numFmtId="49" fontId="11" fillId="0" borderId="10" xfId="0" applyNumberFormat="1" applyFont="1" applyBorder="1" applyAlignment="1">
      <alignment vertical="center"/>
    </xf>
    <xf numFmtId="0" fontId="23" fillId="0" borderId="0" xfId="0" applyFont="1"/>
    <xf numFmtId="0" fontId="21"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vertical="center" wrapText="1"/>
    </xf>
    <xf numFmtId="0" fontId="24" fillId="0" borderId="0" xfId="0" applyFont="1" applyAlignment="1">
      <alignment vertical="center"/>
    </xf>
    <xf numFmtId="0" fontId="7" fillId="0" borderId="0" xfId="0" applyFont="1" applyAlignment="1">
      <alignment horizontal="left" vertical="top" wrapText="1"/>
    </xf>
    <xf numFmtId="0" fontId="25" fillId="0" borderId="0" xfId="0" applyFont="1" applyAlignment="1">
      <alignment vertical="center"/>
    </xf>
    <xf numFmtId="0" fontId="0" fillId="0" borderId="0" xfId="0"/>
    <xf numFmtId="0" fontId="0" fillId="0" borderId="0" xfId="0"/>
    <xf numFmtId="0" fontId="0" fillId="0" borderId="0" xfId="0"/>
    <xf numFmtId="0" fontId="4" fillId="0" borderId="2" xfId="0" applyFont="1" applyFill="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right" vertical="center"/>
    </xf>
    <xf numFmtId="3" fontId="3" fillId="0" borderId="1" xfId="0" applyNumberFormat="1" applyFont="1" applyBorder="1" applyAlignment="1">
      <alignment vertical="center"/>
    </xf>
    <xf numFmtId="0" fontId="4" fillId="0" borderId="2" xfId="0" applyFont="1" applyBorder="1" applyAlignment="1">
      <alignment horizontal="center" vertical="center" wrapText="1"/>
    </xf>
    <xf numFmtId="3" fontId="3" fillId="0" borderId="0" xfId="1" applyNumberFormat="1" applyFont="1"/>
    <xf numFmtId="3" fontId="3" fillId="0" borderId="0" xfId="0" applyNumberFormat="1" applyFont="1"/>
    <xf numFmtId="3" fontId="3" fillId="0" borderId="1" xfId="1" applyNumberFormat="1" applyFont="1" applyBorder="1"/>
    <xf numFmtId="0" fontId="3" fillId="0" borderId="0" xfId="0" applyFont="1" applyFill="1"/>
    <xf numFmtId="0" fontId="3" fillId="0" borderId="0" xfId="0" applyFont="1"/>
    <xf numFmtId="0" fontId="3" fillId="0" borderId="1" xfId="0" applyFont="1" applyFill="1" applyBorder="1"/>
    <xf numFmtId="3" fontId="3" fillId="0" borderId="1" xfId="0" applyNumberFormat="1" applyFont="1" applyBorder="1"/>
    <xf numFmtId="3" fontId="1" fillId="0" borderId="0" xfId="0" applyNumberFormat="1" applyFont="1" applyBorder="1"/>
    <xf numFmtId="0" fontId="0" fillId="0" borderId="0" xfId="0"/>
    <xf numFmtId="0" fontId="0" fillId="0" borderId="0" xfId="0"/>
    <xf numFmtId="0" fontId="0" fillId="0" borderId="2" xfId="0" applyBorder="1" applyAlignment="1">
      <alignment vertical="center"/>
    </xf>
    <xf numFmtId="0" fontId="26" fillId="0" borderId="0" xfId="0" applyFont="1"/>
    <xf numFmtId="0" fontId="17" fillId="0" borderId="0" xfId="0" applyFont="1" applyAlignment="1">
      <alignment vertical="center" wrapText="1"/>
    </xf>
    <xf numFmtId="1" fontId="1" fillId="0" borderId="2" xfId="0" applyNumberFormat="1" applyFont="1" applyBorder="1" applyAlignment="1">
      <alignment horizontal="center" vertical="center"/>
    </xf>
    <xf numFmtId="3" fontId="1" fillId="0" borderId="15" xfId="0" applyNumberFormat="1" applyFont="1" applyBorder="1" applyAlignment="1">
      <alignment horizontal="center" vertical="center"/>
    </xf>
    <xf numFmtId="0" fontId="0" fillId="0" borderId="0" xfId="0" applyBorder="1"/>
    <xf numFmtId="0" fontId="1" fillId="0" borderId="5" xfId="0" applyFont="1" applyBorder="1" applyAlignment="1">
      <alignment horizontal="left" vertical="center"/>
    </xf>
    <xf numFmtId="0" fontId="0" fillId="0" borderId="0" xfId="0"/>
    <xf numFmtId="3" fontId="4" fillId="0" borderId="10" xfId="0" applyNumberFormat="1" applyFont="1" applyBorder="1" applyAlignment="1">
      <alignment horizontal="center" vertical="center"/>
    </xf>
    <xf numFmtId="3" fontId="27" fillId="0" borderId="0" xfId="0" applyNumberFormat="1" applyFont="1" applyBorder="1"/>
    <xf numFmtId="3" fontId="0" fillId="0" borderId="0" xfId="0" applyNumberFormat="1" applyBorder="1"/>
    <xf numFmtId="0" fontId="17" fillId="0" borderId="0" xfId="0" applyFont="1" applyAlignment="1">
      <alignment vertical="top" wrapText="1"/>
    </xf>
    <xf numFmtId="165" fontId="0" fillId="0" borderId="0" xfId="0" applyNumberFormat="1"/>
    <xf numFmtId="0" fontId="0" fillId="0" borderId="0" xfId="0"/>
    <xf numFmtId="0" fontId="3" fillId="0" borderId="2" xfId="0" applyFont="1" applyFill="1" applyBorder="1" applyAlignment="1">
      <alignment vertical="center"/>
    </xf>
    <xf numFmtId="165" fontId="3" fillId="0" borderId="2" xfId="1" applyNumberFormat="1" applyFont="1" applyBorder="1" applyAlignment="1">
      <alignment horizontal="center" vertical="center"/>
    </xf>
    <xf numFmtId="3" fontId="3" fillId="0" borderId="0" xfId="1" applyNumberFormat="1" applyFont="1" applyAlignment="1">
      <alignment horizontal="center" vertical="center"/>
    </xf>
    <xf numFmtId="3" fontId="3" fillId="0" borderId="1" xfId="1" applyNumberFormat="1" applyFont="1" applyBorder="1" applyAlignment="1">
      <alignment horizontal="center" vertical="center"/>
    </xf>
    <xf numFmtId="1" fontId="0" fillId="0" borderId="0" xfId="0" applyNumberFormat="1" applyBorder="1"/>
    <xf numFmtId="0" fontId="4" fillId="0" borderId="2" xfId="0" applyFont="1" applyBorder="1" applyAlignment="1">
      <alignment vertical="center" wrapText="1"/>
    </xf>
    <xf numFmtId="166" fontId="0" fillId="0" borderId="0" xfId="0" applyNumberFormat="1"/>
    <xf numFmtId="3" fontId="3" fillId="2" borderId="0" xfId="1" applyNumberFormat="1" applyFont="1" applyFill="1" applyAlignment="1">
      <alignment horizontal="center" vertical="center"/>
    </xf>
    <xf numFmtId="3" fontId="3" fillId="2" borderId="1" xfId="1" applyNumberFormat="1" applyFont="1" applyFill="1" applyBorder="1" applyAlignment="1">
      <alignment horizontal="center" vertical="center"/>
    </xf>
    <xf numFmtId="165" fontId="3" fillId="2" borderId="2" xfId="1" applyNumberFormat="1" applyFont="1" applyFill="1" applyBorder="1" applyAlignment="1">
      <alignment horizontal="center" vertical="center"/>
    </xf>
    <xf numFmtId="0" fontId="1" fillId="0" borderId="5" xfId="0" applyFont="1" applyFill="1" applyBorder="1" applyAlignment="1">
      <alignment horizontal="center" vertical="center" wrapText="1"/>
    </xf>
    <xf numFmtId="3" fontId="2" fillId="0" borderId="3"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1" fillId="0" borderId="15" xfId="0" applyFont="1" applyBorder="1" applyAlignment="1">
      <alignment horizontal="center" vertical="center" wrapText="1"/>
    </xf>
    <xf numFmtId="3" fontId="4" fillId="0" borderId="14" xfId="0" applyNumberFormat="1" applyFont="1" applyBorder="1" applyAlignment="1">
      <alignment horizontal="center" vertical="center"/>
    </xf>
    <xf numFmtId="3" fontId="2" fillId="0" borderId="0" xfId="0" applyNumberFormat="1" applyFont="1" applyFill="1"/>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4" fillId="0" borderId="1" xfId="0" applyNumberFormat="1" applyFont="1" applyFill="1" applyBorder="1" applyAlignment="1">
      <alignment vertical="center"/>
    </xf>
    <xf numFmtId="164" fontId="12" fillId="0" borderId="2" xfId="0" applyNumberFormat="1" applyFont="1" applyFill="1" applyBorder="1" applyAlignment="1">
      <alignment vertical="center"/>
    </xf>
    <xf numFmtId="164" fontId="13"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0" applyNumberFormat="1" applyFont="1" applyFill="1" applyBorder="1" applyAlignment="1">
      <alignment vertical="center"/>
    </xf>
    <xf numFmtId="1" fontId="1" fillId="0" borderId="11"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0" fontId="0" fillId="0" borderId="0" xfId="1" applyNumberFormat="1" applyFont="1"/>
    <xf numFmtId="0" fontId="7" fillId="0" borderId="0" xfId="0" applyFont="1" applyAlignment="1">
      <alignment horizontal="left" wrapText="1"/>
    </xf>
    <xf numFmtId="0" fontId="7" fillId="0" borderId="0" xfId="0" applyFont="1" applyAlignment="1">
      <alignment horizontal="left" vertical="top" wrapText="1"/>
    </xf>
    <xf numFmtId="0" fontId="12" fillId="0" borderId="0" xfId="0" applyFont="1" applyAlignment="1">
      <alignment horizontal="center" wrapText="1"/>
    </xf>
    <xf numFmtId="0" fontId="7" fillId="0" borderId="0" xfId="0" applyFont="1" applyAlignment="1">
      <alignment vertical="top" wrapText="1"/>
    </xf>
    <xf numFmtId="0" fontId="17" fillId="0" borderId="0" xfId="0" applyFont="1" applyAlignment="1">
      <alignment vertical="top" wrapText="1"/>
    </xf>
  </cellXfs>
  <cellStyles count="5">
    <cellStyle name="Lien hypertexte" xfId="4" builtinId="8"/>
    <cellStyle name="Normal" xfId="0" builtinId="0"/>
    <cellStyle name="Normal 2" xfId="2"/>
    <cellStyle name="Normal 3" xfId="3"/>
    <cellStyle name="Pourcentage" xfId="1" builtinId="5"/>
  </cellStyles>
  <dxfs count="0"/>
  <tableStyles count="0" defaultTableStyle="TableStyleMedium2" defaultPivotStyle="PivotStyleLight16"/>
  <colors>
    <mruColors>
      <color rgb="FFEE8B1D"/>
      <color rgb="FF00B4BA"/>
      <color rgb="FF868686"/>
      <color rgb="FF4CD4B4"/>
      <color rgb="FFFCE9AE"/>
      <color rgb="FFFFDE75"/>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'1. Evolution sexe'!$B$5</c:f>
              <c:strCache>
                <c:ptCount val="1"/>
                <c:pt idx="0">
                  <c:v>Hommes</c:v>
                </c:pt>
              </c:strCache>
            </c:strRef>
          </c:tx>
          <c:spPr>
            <a:solidFill>
              <a:srgbClr val="00AAA1"/>
            </a:solidFill>
            <a:ln w="12700">
              <a:solidFill>
                <a:srgbClr val="000000"/>
              </a:solidFill>
              <a:prstDash val="solid"/>
            </a:ln>
            <a:effectLst/>
          </c:spPr>
          <c:invertIfNegative val="0"/>
          <c:cat>
            <c:numRef>
              <c:f>'1. Evolution sexe'!$C$3:$L$3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Evolution sexe'!$C$5:$L$5</c:f>
              <c:numCache>
                <c:formatCode>#,##0</c:formatCode>
                <c:ptCount val="10"/>
                <c:pt idx="0">
                  <c:v>2589</c:v>
                </c:pt>
                <c:pt idx="1">
                  <c:v>5670</c:v>
                </c:pt>
                <c:pt idx="2">
                  <c:v>8011</c:v>
                </c:pt>
                <c:pt idx="3">
                  <c:v>8263</c:v>
                </c:pt>
                <c:pt idx="4">
                  <c:v>9271</c:v>
                </c:pt>
                <c:pt idx="5">
                  <c:v>15963</c:v>
                </c:pt>
                <c:pt idx="6">
                  <c:v>25863</c:v>
                </c:pt>
                <c:pt idx="7">
                  <c:v>32272</c:v>
                </c:pt>
                <c:pt idx="8">
                  <c:v>33132</c:v>
                </c:pt>
                <c:pt idx="9">
                  <c:v>31654</c:v>
                </c:pt>
              </c:numCache>
            </c:numRef>
          </c:val>
          <c:extLst>
            <c:ext xmlns:c16="http://schemas.microsoft.com/office/drawing/2014/chart" uri="{C3380CC4-5D6E-409C-BE32-E72D297353CC}">
              <c16:uniqueId val="{00000000-A0C2-4F85-9D71-F52874A43599}"/>
            </c:ext>
          </c:extLst>
        </c:ser>
        <c:ser>
          <c:idx val="2"/>
          <c:order val="1"/>
          <c:tx>
            <c:strRef>
              <c:f>'1. Evolution sexe'!$B$6</c:f>
              <c:strCache>
                <c:ptCount val="1"/>
                <c:pt idx="0">
                  <c:v>Femmes</c:v>
                </c:pt>
              </c:strCache>
            </c:strRef>
          </c:tx>
          <c:spPr>
            <a:solidFill>
              <a:srgbClr val="ED8B00"/>
            </a:solidFill>
            <a:ln w="12700">
              <a:solidFill>
                <a:srgbClr val="000000"/>
              </a:solidFill>
              <a:prstDash val="solid"/>
            </a:ln>
            <a:effectLst/>
          </c:spPr>
          <c:invertIfNegative val="0"/>
          <c:cat>
            <c:numRef>
              <c:f>'1. Evolution sexe'!$C$3:$L$3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Evolution sexe'!$C$6:$L$6</c:f>
              <c:numCache>
                <c:formatCode>#,##0</c:formatCode>
                <c:ptCount val="10"/>
                <c:pt idx="0">
                  <c:v>3419</c:v>
                </c:pt>
                <c:pt idx="1">
                  <c:v>7733</c:v>
                </c:pt>
                <c:pt idx="2">
                  <c:v>11471</c:v>
                </c:pt>
                <c:pt idx="3">
                  <c:v>11683</c:v>
                </c:pt>
                <c:pt idx="4">
                  <c:v>12654</c:v>
                </c:pt>
                <c:pt idx="5">
                  <c:v>22237</c:v>
                </c:pt>
                <c:pt idx="6">
                  <c:v>37181</c:v>
                </c:pt>
                <c:pt idx="7">
                  <c:v>46797</c:v>
                </c:pt>
                <c:pt idx="8">
                  <c:v>50793</c:v>
                </c:pt>
                <c:pt idx="9">
                  <c:v>49369</c:v>
                </c:pt>
              </c:numCache>
            </c:numRef>
          </c:val>
          <c:extLst>
            <c:ext xmlns:c16="http://schemas.microsoft.com/office/drawing/2014/chart" uri="{C3380CC4-5D6E-409C-BE32-E72D297353CC}">
              <c16:uniqueId val="{00000001-A0C2-4F85-9D71-F52874A43599}"/>
            </c:ext>
          </c:extLst>
        </c:ser>
        <c:dLbls>
          <c:showLegendKey val="0"/>
          <c:showVal val="0"/>
          <c:showCatName val="0"/>
          <c:showSerName val="0"/>
          <c:showPercent val="0"/>
          <c:showBubbleSize val="0"/>
        </c:dLbls>
        <c:gapWidth val="138"/>
        <c:overlap val="100"/>
        <c:axId val="94383488"/>
        <c:axId val="95573888"/>
      </c:barChart>
      <c:lineChart>
        <c:grouping val="standard"/>
        <c:varyColors val="0"/>
        <c:ser>
          <c:idx val="3"/>
          <c:order val="2"/>
          <c:tx>
            <c:strRef>
              <c:f>'1. Evolution sexe'!$B$7</c:f>
              <c:strCache>
                <c:ptCount val="1"/>
                <c:pt idx="0">
                  <c:v>Volontaires actifs dans l'année</c:v>
                </c:pt>
              </c:strCache>
            </c:strRef>
          </c:tx>
          <c:spPr>
            <a:ln w="38100">
              <a:solidFill>
                <a:srgbClr val="00AAA1"/>
              </a:solidFill>
              <a:prstDash val="solid"/>
            </a:ln>
            <a:effectLst/>
          </c:spPr>
          <c:marker>
            <c:symbol val="square"/>
            <c:size val="5"/>
            <c:spPr>
              <a:noFill/>
              <a:ln w="25400">
                <a:noFill/>
              </a:ln>
            </c:spPr>
          </c:marker>
          <c:cat>
            <c:numRef>
              <c:f>'1. Evolution sexe'!$C$3:$L$3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Evolution sexe'!$C$7:$L$7</c:f>
              <c:numCache>
                <c:formatCode>#,##0</c:formatCode>
                <c:ptCount val="10"/>
                <c:pt idx="0">
                  <c:v>6008</c:v>
                </c:pt>
                <c:pt idx="1">
                  <c:v>19133</c:v>
                </c:pt>
                <c:pt idx="2">
                  <c:v>29884</c:v>
                </c:pt>
                <c:pt idx="3">
                  <c:v>33724</c:v>
                </c:pt>
                <c:pt idx="4">
                  <c:v>34837</c:v>
                </c:pt>
                <c:pt idx="5">
                  <c:v>52402</c:v>
                </c:pt>
                <c:pt idx="6">
                  <c:v>91772</c:v>
                </c:pt>
                <c:pt idx="7">
                  <c:v>123162</c:v>
                </c:pt>
                <c:pt idx="8">
                  <c:v>140202</c:v>
                </c:pt>
                <c:pt idx="9">
                  <c:v>140037</c:v>
                </c:pt>
              </c:numCache>
            </c:numRef>
          </c:val>
          <c:smooth val="0"/>
          <c:extLst>
            <c:ext xmlns:c16="http://schemas.microsoft.com/office/drawing/2014/chart" uri="{C3380CC4-5D6E-409C-BE32-E72D297353CC}">
              <c16:uniqueId val="{00000002-A0C2-4F85-9D71-F52874A43599}"/>
            </c:ext>
          </c:extLst>
        </c:ser>
        <c:dLbls>
          <c:showLegendKey val="0"/>
          <c:showVal val="0"/>
          <c:showCatName val="0"/>
          <c:showSerName val="0"/>
          <c:showPercent val="0"/>
          <c:showBubbleSize val="0"/>
        </c:dLbls>
        <c:marker val="1"/>
        <c:smooth val="0"/>
        <c:axId val="94383488"/>
        <c:axId val="95573888"/>
      </c:lineChart>
      <c:catAx>
        <c:axId val="94383488"/>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95573888"/>
        <c:crosses val="autoZero"/>
        <c:auto val="0"/>
        <c:lblAlgn val="ctr"/>
        <c:lblOffset val="0"/>
        <c:tickLblSkip val="1"/>
        <c:tickMarkSkip val="1"/>
        <c:noMultiLvlLbl val="0"/>
      </c:catAx>
      <c:valAx>
        <c:axId val="9557388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4383488"/>
        <c:crossesAt val="1"/>
        <c:crossBetween val="between"/>
        <c:dispUnits>
          <c:builtInUnit val="thousands"/>
          <c:dispUnitsLbl>
            <c:layout/>
            <c:tx>
              <c:rich>
                <a:bodyPr/>
                <a:lstStyle/>
                <a:p>
                  <a:pPr>
                    <a:defRPr/>
                  </a:pPr>
                  <a:r>
                    <a:rPr lang="fr-FR"/>
                    <a:t>En milliers</a:t>
                  </a:r>
                </a:p>
              </c:rich>
            </c:tx>
          </c:dispUnitsLbl>
        </c:dispUnits>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'10. Durée missions'!$B$13</c:f>
              <c:strCache>
                <c:ptCount val="1"/>
                <c:pt idx="0">
                  <c:v>6 mois</c:v>
                </c:pt>
              </c:strCache>
            </c:strRef>
          </c:tx>
          <c:spPr>
            <a:solidFill>
              <a:srgbClr val="00AAA1"/>
            </a:solidFill>
            <a:ln w="12700">
              <a:solidFill>
                <a:srgbClr val="000000"/>
              </a:solidFill>
              <a:prstDash val="solid"/>
            </a:ln>
            <a:effectLst/>
          </c:spPr>
          <c:invertIfNegative val="0"/>
          <c:cat>
            <c:numRef>
              <c:f>'10. Durée missions'!$C$12:$K$12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missions'!$C$13:$K$13</c:f>
              <c:numCache>
                <c:formatCode>0</c:formatCode>
                <c:ptCount val="9"/>
                <c:pt idx="0">
                  <c:v>27.84</c:v>
                </c:pt>
                <c:pt idx="1">
                  <c:v>28.14</c:v>
                </c:pt>
                <c:pt idx="2">
                  <c:v>29.72</c:v>
                </c:pt>
                <c:pt idx="3">
                  <c:v>40.090000000000003</c:v>
                </c:pt>
                <c:pt idx="4">
                  <c:v>36.24</c:v>
                </c:pt>
                <c:pt idx="5">
                  <c:v>28.29</c:v>
                </c:pt>
                <c:pt idx="6">
                  <c:v>20.47</c:v>
                </c:pt>
                <c:pt idx="7">
                  <c:v>17</c:v>
                </c:pt>
                <c:pt idx="8">
                  <c:v>17</c:v>
                </c:pt>
              </c:numCache>
            </c:numRef>
          </c:val>
          <c:extLst>
            <c:ext xmlns:c16="http://schemas.microsoft.com/office/drawing/2014/chart" uri="{C3380CC4-5D6E-409C-BE32-E72D297353CC}">
              <c16:uniqueId val="{00000000-6B25-42BF-8E3E-DD05AE70ACB4}"/>
            </c:ext>
          </c:extLst>
        </c:ser>
        <c:ser>
          <c:idx val="1"/>
          <c:order val="1"/>
          <c:tx>
            <c:strRef>
              <c:f>'10. Durée missions'!$B$14</c:f>
              <c:strCache>
                <c:ptCount val="1"/>
                <c:pt idx="0">
                  <c:v>7 mois</c:v>
                </c:pt>
              </c:strCache>
            </c:strRef>
          </c:tx>
          <c:spPr>
            <a:solidFill>
              <a:srgbClr val="ED8B00"/>
            </a:solidFill>
            <a:ln w="12700">
              <a:solidFill>
                <a:srgbClr val="000000"/>
              </a:solidFill>
              <a:prstDash val="solid"/>
            </a:ln>
            <a:effectLst/>
          </c:spPr>
          <c:invertIfNegative val="0"/>
          <c:cat>
            <c:numRef>
              <c:f>'10. Durée missions'!$C$12:$K$12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missions'!$C$14:$K$14</c:f>
              <c:numCache>
                <c:formatCode>0</c:formatCode>
                <c:ptCount val="9"/>
                <c:pt idx="0">
                  <c:v>3.42</c:v>
                </c:pt>
                <c:pt idx="1">
                  <c:v>3.04</c:v>
                </c:pt>
                <c:pt idx="2">
                  <c:v>3.58</c:v>
                </c:pt>
                <c:pt idx="3">
                  <c:v>4.13</c:v>
                </c:pt>
                <c:pt idx="4">
                  <c:v>5.52</c:v>
                </c:pt>
                <c:pt idx="5">
                  <c:v>10.3</c:v>
                </c:pt>
                <c:pt idx="6">
                  <c:v>8.64</c:v>
                </c:pt>
                <c:pt idx="7">
                  <c:v>9</c:v>
                </c:pt>
                <c:pt idx="8">
                  <c:v>6</c:v>
                </c:pt>
              </c:numCache>
            </c:numRef>
          </c:val>
          <c:extLst>
            <c:ext xmlns:c16="http://schemas.microsoft.com/office/drawing/2014/chart" uri="{C3380CC4-5D6E-409C-BE32-E72D297353CC}">
              <c16:uniqueId val="{00000001-6B25-42BF-8E3E-DD05AE70ACB4}"/>
            </c:ext>
          </c:extLst>
        </c:ser>
        <c:ser>
          <c:idx val="2"/>
          <c:order val="2"/>
          <c:tx>
            <c:strRef>
              <c:f>'10. Durée missions'!$B$15</c:f>
              <c:strCache>
                <c:ptCount val="1"/>
                <c:pt idx="0">
                  <c:v>8 mois</c:v>
                </c:pt>
              </c:strCache>
            </c:strRef>
          </c:tx>
          <c:spPr>
            <a:solidFill>
              <a:srgbClr val="B0AA9E"/>
            </a:solidFill>
            <a:ln w="12700">
              <a:solidFill>
                <a:srgbClr val="000000"/>
              </a:solidFill>
              <a:prstDash val="solid"/>
            </a:ln>
            <a:effectLst/>
          </c:spPr>
          <c:invertIfNegative val="0"/>
          <c:cat>
            <c:numRef>
              <c:f>'10. Durée missions'!$C$12:$K$12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missions'!$C$15:$K$15</c:f>
              <c:numCache>
                <c:formatCode>0</c:formatCode>
                <c:ptCount val="9"/>
                <c:pt idx="0">
                  <c:v>5.94</c:v>
                </c:pt>
                <c:pt idx="1">
                  <c:v>11.82</c:v>
                </c:pt>
                <c:pt idx="2">
                  <c:v>13.37</c:v>
                </c:pt>
                <c:pt idx="3">
                  <c:v>20.7</c:v>
                </c:pt>
                <c:pt idx="4">
                  <c:v>32.619999999999997</c:v>
                </c:pt>
                <c:pt idx="5">
                  <c:v>40.619999999999997</c:v>
                </c:pt>
                <c:pt idx="6">
                  <c:v>45.63</c:v>
                </c:pt>
                <c:pt idx="7">
                  <c:v>46</c:v>
                </c:pt>
                <c:pt idx="8">
                  <c:v>47</c:v>
                </c:pt>
              </c:numCache>
            </c:numRef>
          </c:val>
          <c:extLst>
            <c:ext xmlns:c16="http://schemas.microsoft.com/office/drawing/2014/chart" uri="{C3380CC4-5D6E-409C-BE32-E72D297353CC}">
              <c16:uniqueId val="{00000002-6B25-42BF-8E3E-DD05AE70ACB4}"/>
            </c:ext>
          </c:extLst>
        </c:ser>
        <c:ser>
          <c:idx val="3"/>
          <c:order val="3"/>
          <c:tx>
            <c:strRef>
              <c:f>'10. Durée missions'!$B$16</c:f>
              <c:strCache>
                <c:ptCount val="1"/>
                <c:pt idx="0">
                  <c:v>9 mois</c:v>
                </c:pt>
              </c:strCache>
            </c:strRef>
          </c:tx>
          <c:spPr>
            <a:solidFill>
              <a:srgbClr val="F9B000"/>
            </a:solidFill>
            <a:ln w="12700">
              <a:solidFill>
                <a:srgbClr val="000000"/>
              </a:solidFill>
              <a:prstDash val="solid"/>
            </a:ln>
            <a:effectLst/>
          </c:spPr>
          <c:invertIfNegative val="0"/>
          <c:cat>
            <c:numRef>
              <c:f>'10. Durée missions'!$C$12:$K$12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missions'!$C$16:$K$16</c:f>
              <c:numCache>
                <c:formatCode>0</c:formatCode>
                <c:ptCount val="9"/>
                <c:pt idx="0">
                  <c:v>26.14</c:v>
                </c:pt>
                <c:pt idx="1">
                  <c:v>17.489999999999998</c:v>
                </c:pt>
                <c:pt idx="2">
                  <c:v>19.079999999999998</c:v>
                </c:pt>
                <c:pt idx="3">
                  <c:v>16.62</c:v>
                </c:pt>
                <c:pt idx="4">
                  <c:v>14.46</c:v>
                </c:pt>
                <c:pt idx="5">
                  <c:v>10.37</c:v>
                </c:pt>
                <c:pt idx="6">
                  <c:v>13.12</c:v>
                </c:pt>
                <c:pt idx="7">
                  <c:v>14</c:v>
                </c:pt>
                <c:pt idx="8">
                  <c:v>16</c:v>
                </c:pt>
              </c:numCache>
            </c:numRef>
          </c:val>
          <c:extLst>
            <c:ext xmlns:c16="http://schemas.microsoft.com/office/drawing/2014/chart" uri="{C3380CC4-5D6E-409C-BE32-E72D297353CC}">
              <c16:uniqueId val="{00000003-6B25-42BF-8E3E-DD05AE70ACB4}"/>
            </c:ext>
          </c:extLst>
        </c:ser>
        <c:ser>
          <c:idx val="4"/>
          <c:order val="4"/>
          <c:tx>
            <c:strRef>
              <c:f>'10. Durée missions'!$B$17</c:f>
              <c:strCache>
                <c:ptCount val="1"/>
                <c:pt idx="0">
                  <c:v>10 mois</c:v>
                </c:pt>
              </c:strCache>
            </c:strRef>
          </c:tx>
          <c:spPr>
            <a:solidFill>
              <a:srgbClr val="B8DEDB"/>
            </a:solidFill>
            <a:ln w="12700">
              <a:solidFill>
                <a:srgbClr val="000000"/>
              </a:solidFill>
              <a:prstDash val="solid"/>
            </a:ln>
            <a:effectLst/>
          </c:spPr>
          <c:invertIfNegative val="0"/>
          <c:cat>
            <c:numRef>
              <c:f>'10. Durée missions'!$C$12:$K$12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missions'!$C$17:$K$17</c:f>
              <c:numCache>
                <c:formatCode>0</c:formatCode>
                <c:ptCount val="9"/>
                <c:pt idx="0">
                  <c:v>6.8</c:v>
                </c:pt>
                <c:pt idx="1">
                  <c:v>9.98</c:v>
                </c:pt>
                <c:pt idx="2">
                  <c:v>11.63</c:v>
                </c:pt>
                <c:pt idx="3">
                  <c:v>9.81</c:v>
                </c:pt>
                <c:pt idx="4">
                  <c:v>7.37</c:v>
                </c:pt>
                <c:pt idx="5">
                  <c:v>8.09</c:v>
                </c:pt>
                <c:pt idx="6">
                  <c:v>9.0299999999999994</c:v>
                </c:pt>
                <c:pt idx="7">
                  <c:v>10</c:v>
                </c:pt>
                <c:pt idx="8">
                  <c:v>10</c:v>
                </c:pt>
              </c:numCache>
            </c:numRef>
          </c:val>
          <c:extLst>
            <c:ext xmlns:c16="http://schemas.microsoft.com/office/drawing/2014/chart" uri="{C3380CC4-5D6E-409C-BE32-E72D297353CC}">
              <c16:uniqueId val="{00000004-6B25-42BF-8E3E-DD05AE70ACB4}"/>
            </c:ext>
          </c:extLst>
        </c:ser>
        <c:ser>
          <c:idx val="5"/>
          <c:order val="5"/>
          <c:tx>
            <c:strRef>
              <c:f>'10. Durée missions'!$B$18</c:f>
              <c:strCache>
                <c:ptCount val="1"/>
                <c:pt idx="0">
                  <c:v>11 ou 12 mois</c:v>
                </c:pt>
              </c:strCache>
            </c:strRef>
          </c:tx>
          <c:spPr>
            <a:solidFill>
              <a:srgbClr val="DFDBD7"/>
            </a:solidFill>
            <a:ln w="12700">
              <a:solidFill>
                <a:srgbClr val="000000"/>
              </a:solidFill>
              <a:prstDash val="solid"/>
            </a:ln>
            <a:effectLst/>
          </c:spPr>
          <c:invertIfNegative val="0"/>
          <c:cat>
            <c:numRef>
              <c:f>'10. Durée missions'!$C$12:$K$12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missions'!$C$18:$K$18</c:f>
              <c:numCache>
                <c:formatCode>0</c:formatCode>
                <c:ptCount val="9"/>
                <c:pt idx="0">
                  <c:v>29.86</c:v>
                </c:pt>
                <c:pt idx="1">
                  <c:v>29.51</c:v>
                </c:pt>
                <c:pt idx="2">
                  <c:v>22.619999999999997</c:v>
                </c:pt>
                <c:pt idx="3">
                  <c:v>8.65</c:v>
                </c:pt>
                <c:pt idx="4">
                  <c:v>3.79</c:v>
                </c:pt>
                <c:pt idx="5">
                  <c:v>2.3199999999999998</c:v>
                </c:pt>
                <c:pt idx="6">
                  <c:v>3.11</c:v>
                </c:pt>
                <c:pt idx="7">
                  <c:v>4</c:v>
                </c:pt>
                <c:pt idx="8">
                  <c:v>3</c:v>
                </c:pt>
              </c:numCache>
            </c:numRef>
          </c:val>
          <c:extLst>
            <c:ext xmlns:c16="http://schemas.microsoft.com/office/drawing/2014/chart" uri="{C3380CC4-5D6E-409C-BE32-E72D297353CC}">
              <c16:uniqueId val="{00000005-6B25-42BF-8E3E-DD05AE70ACB4}"/>
            </c:ext>
          </c:extLst>
        </c:ser>
        <c:dLbls>
          <c:showLegendKey val="0"/>
          <c:showVal val="0"/>
          <c:showCatName val="0"/>
          <c:showSerName val="0"/>
          <c:showPercent val="0"/>
          <c:showBubbleSize val="0"/>
        </c:dLbls>
        <c:gapWidth val="150"/>
        <c:overlap val="100"/>
        <c:axId val="94301184"/>
        <c:axId val="94388992"/>
      </c:barChart>
      <c:catAx>
        <c:axId val="94301184"/>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4388992"/>
        <c:crosses val="autoZero"/>
        <c:auto val="0"/>
        <c:lblAlgn val="ctr"/>
        <c:lblOffset val="0"/>
        <c:tickLblSkip val="1"/>
        <c:tickMarkSkip val="1"/>
        <c:noMultiLvlLbl val="0"/>
      </c:catAx>
      <c:valAx>
        <c:axId val="9438899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4301184"/>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'11. Durée hebdomadaire'!$B$4</c:f>
              <c:strCache>
                <c:ptCount val="1"/>
                <c:pt idx="0">
                  <c:v>24 heures</c:v>
                </c:pt>
              </c:strCache>
            </c:strRef>
          </c:tx>
          <c:spPr>
            <a:solidFill>
              <a:srgbClr val="00AAA1"/>
            </a:solidFill>
            <a:ln w="12700">
              <a:solidFill>
                <a:srgbClr val="000000"/>
              </a:solidFill>
              <a:prstDash val="solid"/>
            </a:ln>
            <a:effectLst/>
          </c:spPr>
          <c:invertIfNegative val="0"/>
          <c:cat>
            <c:numRef>
              <c:f>'11. Durée hebdomadaire'!$C$3:$K$3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'11. Durée hebdomadaire'!$C$4:$K$4</c:f>
              <c:numCache>
                <c:formatCode>#,##0</c:formatCode>
                <c:ptCount val="9"/>
                <c:pt idx="0">
                  <c:v>49.85</c:v>
                </c:pt>
                <c:pt idx="1">
                  <c:v>52.31</c:v>
                </c:pt>
                <c:pt idx="2">
                  <c:v>52.2</c:v>
                </c:pt>
                <c:pt idx="3">
                  <c:v>52.9</c:v>
                </c:pt>
                <c:pt idx="4">
                  <c:v>53.86</c:v>
                </c:pt>
                <c:pt idx="5">
                  <c:v>49.47</c:v>
                </c:pt>
                <c:pt idx="6">
                  <c:v>51.29</c:v>
                </c:pt>
                <c:pt idx="7">
                  <c:v>52</c:v>
                </c:pt>
                <c:pt idx="8">
                  <c:v>51</c:v>
                </c:pt>
              </c:numCache>
            </c:numRef>
          </c:val>
          <c:extLst>
            <c:ext xmlns:c16="http://schemas.microsoft.com/office/drawing/2014/chart" uri="{C3380CC4-5D6E-409C-BE32-E72D297353CC}">
              <c16:uniqueId val="{00000000-3068-477F-A2E9-05B7D3D58634}"/>
            </c:ext>
          </c:extLst>
        </c:ser>
        <c:ser>
          <c:idx val="1"/>
          <c:order val="1"/>
          <c:tx>
            <c:strRef>
              <c:f>'11. Durée hebdomadaire'!$B$5</c:f>
              <c:strCache>
                <c:ptCount val="1"/>
                <c:pt idx="0">
                  <c:v>entre 25 et 29 heures</c:v>
                </c:pt>
              </c:strCache>
            </c:strRef>
          </c:tx>
          <c:spPr>
            <a:solidFill>
              <a:srgbClr val="ED8B00"/>
            </a:solidFill>
            <a:ln w="12700">
              <a:solidFill>
                <a:srgbClr val="000000"/>
              </a:solidFill>
              <a:prstDash val="solid"/>
            </a:ln>
            <a:effectLst/>
          </c:spPr>
          <c:invertIfNegative val="0"/>
          <c:cat>
            <c:numRef>
              <c:f>'11. Durée hebdomadaire'!$C$3:$K$3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'11. Durée hebdomadaire'!$C$5:$K$5</c:f>
              <c:numCache>
                <c:formatCode>#,##0</c:formatCode>
                <c:ptCount val="9"/>
                <c:pt idx="0">
                  <c:v>14.03</c:v>
                </c:pt>
                <c:pt idx="1">
                  <c:v>15.93</c:v>
                </c:pt>
                <c:pt idx="2">
                  <c:v>17.690000000000001</c:v>
                </c:pt>
                <c:pt idx="3">
                  <c:v>18.45</c:v>
                </c:pt>
                <c:pt idx="4">
                  <c:v>16.7</c:v>
                </c:pt>
                <c:pt idx="5">
                  <c:v>17.8</c:v>
                </c:pt>
                <c:pt idx="6">
                  <c:v>17.010000000000002</c:v>
                </c:pt>
                <c:pt idx="7">
                  <c:v>18</c:v>
                </c:pt>
                <c:pt idx="8">
                  <c:v>20</c:v>
                </c:pt>
              </c:numCache>
            </c:numRef>
          </c:val>
          <c:extLst>
            <c:ext xmlns:c16="http://schemas.microsoft.com/office/drawing/2014/chart" uri="{C3380CC4-5D6E-409C-BE32-E72D297353CC}">
              <c16:uniqueId val="{00000001-3068-477F-A2E9-05B7D3D58634}"/>
            </c:ext>
          </c:extLst>
        </c:ser>
        <c:ser>
          <c:idx val="2"/>
          <c:order val="2"/>
          <c:tx>
            <c:strRef>
              <c:f>'11. Durée hebdomadaire'!$B$6</c:f>
              <c:strCache>
                <c:ptCount val="1"/>
                <c:pt idx="0">
                  <c:v>entre 30 et 34 heures</c:v>
                </c:pt>
              </c:strCache>
            </c:strRef>
          </c:tx>
          <c:spPr>
            <a:solidFill>
              <a:srgbClr val="B0AA9E"/>
            </a:solidFill>
            <a:ln w="12700">
              <a:solidFill>
                <a:srgbClr val="000000"/>
              </a:solidFill>
              <a:prstDash val="solid"/>
            </a:ln>
            <a:effectLst/>
          </c:spPr>
          <c:invertIfNegative val="0"/>
          <c:cat>
            <c:numRef>
              <c:f>'11. Durée hebdomadaire'!$C$3:$K$3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'11. Durée hebdomadaire'!$C$6:$K$6</c:f>
              <c:numCache>
                <c:formatCode>#,##0</c:formatCode>
                <c:ptCount val="9"/>
                <c:pt idx="0">
                  <c:v>7.32</c:v>
                </c:pt>
                <c:pt idx="1">
                  <c:v>7.27</c:v>
                </c:pt>
                <c:pt idx="2">
                  <c:v>8.08</c:v>
                </c:pt>
                <c:pt idx="3">
                  <c:v>9.7799999999999994</c:v>
                </c:pt>
                <c:pt idx="4">
                  <c:v>14.66</c:v>
                </c:pt>
                <c:pt idx="5">
                  <c:v>19.63</c:v>
                </c:pt>
                <c:pt idx="6">
                  <c:v>21.27</c:v>
                </c:pt>
                <c:pt idx="7">
                  <c:v>21</c:v>
                </c:pt>
                <c:pt idx="8">
                  <c:v>20</c:v>
                </c:pt>
              </c:numCache>
            </c:numRef>
          </c:val>
          <c:extLst>
            <c:ext xmlns:c16="http://schemas.microsoft.com/office/drawing/2014/chart" uri="{C3380CC4-5D6E-409C-BE32-E72D297353CC}">
              <c16:uniqueId val="{00000002-3068-477F-A2E9-05B7D3D58634}"/>
            </c:ext>
          </c:extLst>
        </c:ser>
        <c:ser>
          <c:idx val="3"/>
          <c:order val="3"/>
          <c:tx>
            <c:strRef>
              <c:f>'11. Durée hebdomadaire'!$B$7</c:f>
              <c:strCache>
                <c:ptCount val="1"/>
                <c:pt idx="0">
                  <c:v>35 heures et plus</c:v>
                </c:pt>
              </c:strCache>
            </c:strRef>
          </c:tx>
          <c:spPr>
            <a:solidFill>
              <a:srgbClr val="F9B000"/>
            </a:solidFill>
            <a:ln w="12700">
              <a:solidFill>
                <a:srgbClr val="000000"/>
              </a:solidFill>
              <a:prstDash val="solid"/>
            </a:ln>
            <a:effectLst/>
          </c:spPr>
          <c:invertIfNegative val="0"/>
          <c:cat>
            <c:numRef>
              <c:f>'11. Durée hebdomadaire'!$C$3:$K$3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'11. Durée hebdomadaire'!$C$7:$K$7</c:f>
              <c:numCache>
                <c:formatCode>#,##0</c:formatCode>
                <c:ptCount val="9"/>
                <c:pt idx="0">
                  <c:v>28.8</c:v>
                </c:pt>
                <c:pt idx="1">
                  <c:v>24.49</c:v>
                </c:pt>
                <c:pt idx="2">
                  <c:v>22.02</c:v>
                </c:pt>
                <c:pt idx="3">
                  <c:v>18.88</c:v>
                </c:pt>
                <c:pt idx="4">
                  <c:v>14.79</c:v>
                </c:pt>
                <c:pt idx="5">
                  <c:v>13.1</c:v>
                </c:pt>
                <c:pt idx="6">
                  <c:v>10.43</c:v>
                </c:pt>
                <c:pt idx="7">
                  <c:v>9</c:v>
                </c:pt>
                <c:pt idx="8">
                  <c:v>9</c:v>
                </c:pt>
              </c:numCache>
            </c:numRef>
          </c:val>
          <c:extLst>
            <c:ext xmlns:c16="http://schemas.microsoft.com/office/drawing/2014/chart" uri="{C3380CC4-5D6E-409C-BE32-E72D297353CC}">
              <c16:uniqueId val="{00000003-3068-477F-A2E9-05B7D3D58634}"/>
            </c:ext>
          </c:extLst>
        </c:ser>
        <c:dLbls>
          <c:showLegendKey val="0"/>
          <c:showVal val="0"/>
          <c:showCatName val="0"/>
          <c:showSerName val="0"/>
          <c:showPercent val="0"/>
          <c:showBubbleSize val="0"/>
        </c:dLbls>
        <c:gapWidth val="150"/>
        <c:overlap val="100"/>
        <c:axId val="94479104"/>
        <c:axId val="94480640"/>
      </c:barChart>
      <c:catAx>
        <c:axId val="94479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94480640"/>
        <c:crosses val="autoZero"/>
        <c:auto val="1"/>
        <c:lblAlgn val="ctr"/>
        <c:lblOffset val="0"/>
        <c:tickLblSkip val="1"/>
        <c:tickMarkSkip val="1"/>
        <c:noMultiLvlLbl val="0"/>
      </c:catAx>
      <c:valAx>
        <c:axId val="9448064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94479104"/>
        <c:crossesAt val="1"/>
        <c:crossBetween val="between"/>
        <c:majorUnit val="0.2"/>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'2. Flux trimestriels'!$D$3</c:f>
              <c:strCache>
                <c:ptCount val="1"/>
                <c:pt idx="0">
                  <c:v>Hommes</c:v>
                </c:pt>
              </c:strCache>
            </c:strRef>
          </c:tx>
          <c:spPr>
            <a:solidFill>
              <a:srgbClr val="00AAA1"/>
            </a:solidFill>
            <a:ln w="12700">
              <a:solidFill>
                <a:srgbClr val="000000"/>
              </a:solidFill>
              <a:prstDash val="solid"/>
            </a:ln>
            <a:effectLst/>
          </c:spPr>
          <c:invertIfNegative val="0"/>
          <c:cat>
            <c:multiLvlStrRef>
              <c:f>'2. Flux trimestriels'!$B$4:$C$43</c:f>
              <c:multiLvlStrCache>
                <c:ptCount val="4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2011</c:v>
                  </c:pt>
                  <c:pt idx="8">
                    <c:v>2012</c:v>
                  </c:pt>
                  <c:pt idx="12">
                    <c:v>2013</c:v>
                  </c:pt>
                  <c:pt idx="16">
                    <c:v>2014</c:v>
                  </c:pt>
                  <c:pt idx="20">
                    <c:v>2015</c:v>
                  </c:pt>
                  <c:pt idx="24">
                    <c:v>2016</c:v>
                  </c:pt>
                  <c:pt idx="28">
                    <c:v>2017</c:v>
                  </c:pt>
                  <c:pt idx="32">
                    <c:v>2018</c:v>
                  </c:pt>
                  <c:pt idx="36">
                    <c:v>2019</c:v>
                  </c:pt>
                </c:lvl>
              </c:multiLvlStrCache>
            </c:multiLvlStrRef>
          </c:cat>
          <c:val>
            <c:numRef>
              <c:f>'2. Flux trimestriels'!$D$4:$D$43</c:f>
              <c:numCache>
                <c:formatCode>#,##0</c:formatCode>
                <c:ptCount val="40"/>
                <c:pt idx="1">
                  <c:v>23</c:v>
                </c:pt>
                <c:pt idx="2">
                  <c:v>486</c:v>
                </c:pt>
                <c:pt idx="3">
                  <c:v>2080</c:v>
                </c:pt>
                <c:pt idx="4">
                  <c:v>1015</c:v>
                </c:pt>
                <c:pt idx="5">
                  <c:v>740</c:v>
                </c:pt>
                <c:pt idx="6">
                  <c:v>1189</c:v>
                </c:pt>
                <c:pt idx="7">
                  <c:v>2726</c:v>
                </c:pt>
                <c:pt idx="8">
                  <c:v>1660</c:v>
                </c:pt>
                <c:pt idx="9">
                  <c:v>1162</c:v>
                </c:pt>
                <c:pt idx="10">
                  <c:v>1807</c:v>
                </c:pt>
                <c:pt idx="11">
                  <c:v>3382</c:v>
                </c:pt>
                <c:pt idx="12">
                  <c:v>1859</c:v>
                </c:pt>
                <c:pt idx="13">
                  <c:v>1257</c:v>
                </c:pt>
                <c:pt idx="14">
                  <c:v>2244</c:v>
                </c:pt>
                <c:pt idx="15">
                  <c:v>2903</c:v>
                </c:pt>
                <c:pt idx="16">
                  <c:v>2083</c:v>
                </c:pt>
                <c:pt idx="17">
                  <c:v>1259</c:v>
                </c:pt>
                <c:pt idx="18">
                  <c:v>2106</c:v>
                </c:pt>
                <c:pt idx="19">
                  <c:v>3823</c:v>
                </c:pt>
                <c:pt idx="20">
                  <c:v>2130</c:v>
                </c:pt>
                <c:pt idx="21">
                  <c:v>1727</c:v>
                </c:pt>
                <c:pt idx="22">
                  <c:v>3757</c:v>
                </c:pt>
                <c:pt idx="23">
                  <c:v>8349</c:v>
                </c:pt>
                <c:pt idx="24">
                  <c:v>4473</c:v>
                </c:pt>
                <c:pt idx="25">
                  <c:v>3440</c:v>
                </c:pt>
                <c:pt idx="26">
                  <c:v>5751</c:v>
                </c:pt>
                <c:pt idx="27">
                  <c:v>12199</c:v>
                </c:pt>
                <c:pt idx="28">
                  <c:v>5476</c:v>
                </c:pt>
                <c:pt idx="29">
                  <c:v>3772</c:v>
                </c:pt>
                <c:pt idx="30">
                  <c:v>7040</c:v>
                </c:pt>
                <c:pt idx="31">
                  <c:v>15984</c:v>
                </c:pt>
                <c:pt idx="32">
                  <c:v>5995</c:v>
                </c:pt>
                <c:pt idx="33">
                  <c:v>3696</c:v>
                </c:pt>
                <c:pt idx="34">
                  <c:v>7927</c:v>
                </c:pt>
                <c:pt idx="35">
                  <c:v>15514</c:v>
                </c:pt>
                <c:pt idx="36">
                  <c:v>6373</c:v>
                </c:pt>
                <c:pt idx="37">
                  <c:v>3852</c:v>
                </c:pt>
                <c:pt idx="38">
                  <c:v>7050</c:v>
                </c:pt>
                <c:pt idx="39">
                  <c:v>14379</c:v>
                </c:pt>
              </c:numCache>
            </c:numRef>
          </c:val>
          <c:extLst>
            <c:ext xmlns:c16="http://schemas.microsoft.com/office/drawing/2014/chart" uri="{C3380CC4-5D6E-409C-BE32-E72D297353CC}">
              <c16:uniqueId val="{00000000-2DEB-45D6-B48B-E996827636AC}"/>
            </c:ext>
          </c:extLst>
        </c:ser>
        <c:ser>
          <c:idx val="1"/>
          <c:order val="1"/>
          <c:tx>
            <c:strRef>
              <c:f>'2. Flux trimestriels'!$E$3</c:f>
              <c:strCache>
                <c:ptCount val="1"/>
                <c:pt idx="0">
                  <c:v>Femmes</c:v>
                </c:pt>
              </c:strCache>
            </c:strRef>
          </c:tx>
          <c:spPr>
            <a:solidFill>
              <a:srgbClr val="ED8B00"/>
            </a:solidFill>
            <a:ln w="12700">
              <a:solidFill>
                <a:srgbClr val="000000"/>
              </a:solidFill>
              <a:prstDash val="solid"/>
            </a:ln>
            <a:effectLst/>
          </c:spPr>
          <c:invertIfNegative val="0"/>
          <c:cat>
            <c:multiLvlStrRef>
              <c:f>'2. Flux trimestriels'!$B$4:$C$43</c:f>
              <c:multiLvlStrCache>
                <c:ptCount val="4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lvl>
                <c:lvl>
                  <c:pt idx="0">
                    <c:v>2010</c:v>
                  </c:pt>
                  <c:pt idx="4">
                    <c:v>2011</c:v>
                  </c:pt>
                  <c:pt idx="8">
                    <c:v>2012</c:v>
                  </c:pt>
                  <c:pt idx="12">
                    <c:v>2013</c:v>
                  </c:pt>
                  <c:pt idx="16">
                    <c:v>2014</c:v>
                  </c:pt>
                  <c:pt idx="20">
                    <c:v>2015</c:v>
                  </c:pt>
                  <c:pt idx="24">
                    <c:v>2016</c:v>
                  </c:pt>
                  <c:pt idx="28">
                    <c:v>2017</c:v>
                  </c:pt>
                  <c:pt idx="32">
                    <c:v>2018</c:v>
                  </c:pt>
                  <c:pt idx="36">
                    <c:v>2019</c:v>
                  </c:pt>
                </c:lvl>
              </c:multiLvlStrCache>
            </c:multiLvlStrRef>
          </c:cat>
          <c:val>
            <c:numRef>
              <c:f>'2. Flux trimestriels'!$E$4:$E$43</c:f>
              <c:numCache>
                <c:formatCode>#,##0</c:formatCode>
                <c:ptCount val="40"/>
                <c:pt idx="1">
                  <c:v>34</c:v>
                </c:pt>
                <c:pt idx="2">
                  <c:v>728</c:v>
                </c:pt>
                <c:pt idx="3">
                  <c:v>2657</c:v>
                </c:pt>
                <c:pt idx="4">
                  <c:v>1221</c:v>
                </c:pt>
                <c:pt idx="5">
                  <c:v>849</c:v>
                </c:pt>
                <c:pt idx="6">
                  <c:v>1884</c:v>
                </c:pt>
                <c:pt idx="7">
                  <c:v>3779</c:v>
                </c:pt>
                <c:pt idx="8">
                  <c:v>2340</c:v>
                </c:pt>
                <c:pt idx="9">
                  <c:v>1433</c:v>
                </c:pt>
                <c:pt idx="10">
                  <c:v>2812</c:v>
                </c:pt>
                <c:pt idx="11">
                  <c:v>4886</c:v>
                </c:pt>
                <c:pt idx="12">
                  <c:v>2456</c:v>
                </c:pt>
                <c:pt idx="13">
                  <c:v>1669</c:v>
                </c:pt>
                <c:pt idx="14">
                  <c:v>3101</c:v>
                </c:pt>
                <c:pt idx="15">
                  <c:v>4457</c:v>
                </c:pt>
                <c:pt idx="16">
                  <c:v>2539</c:v>
                </c:pt>
                <c:pt idx="17">
                  <c:v>1723</c:v>
                </c:pt>
                <c:pt idx="18">
                  <c:v>3001</c:v>
                </c:pt>
                <c:pt idx="19">
                  <c:v>5391</c:v>
                </c:pt>
                <c:pt idx="20">
                  <c:v>2605</c:v>
                </c:pt>
                <c:pt idx="21">
                  <c:v>2350</c:v>
                </c:pt>
                <c:pt idx="22">
                  <c:v>5331</c:v>
                </c:pt>
                <c:pt idx="23">
                  <c:v>11951</c:v>
                </c:pt>
                <c:pt idx="24">
                  <c:v>6185</c:v>
                </c:pt>
                <c:pt idx="25">
                  <c:v>4843</c:v>
                </c:pt>
                <c:pt idx="26">
                  <c:v>8454</c:v>
                </c:pt>
                <c:pt idx="27">
                  <c:v>17699</c:v>
                </c:pt>
                <c:pt idx="28">
                  <c:v>7858</c:v>
                </c:pt>
                <c:pt idx="29">
                  <c:v>5549</c:v>
                </c:pt>
                <c:pt idx="30">
                  <c:v>9480</c:v>
                </c:pt>
                <c:pt idx="31">
                  <c:v>23910</c:v>
                </c:pt>
                <c:pt idx="32">
                  <c:v>9289</c:v>
                </c:pt>
                <c:pt idx="33">
                  <c:v>5499</c:v>
                </c:pt>
                <c:pt idx="34">
                  <c:v>11673</c:v>
                </c:pt>
                <c:pt idx="35">
                  <c:v>24332</c:v>
                </c:pt>
                <c:pt idx="36">
                  <c:v>10475</c:v>
                </c:pt>
                <c:pt idx="37">
                  <c:v>5717</c:v>
                </c:pt>
                <c:pt idx="38">
                  <c:v>11392</c:v>
                </c:pt>
                <c:pt idx="39">
                  <c:v>21785</c:v>
                </c:pt>
              </c:numCache>
            </c:numRef>
          </c:val>
          <c:extLst>
            <c:ext xmlns:c16="http://schemas.microsoft.com/office/drawing/2014/chart" uri="{C3380CC4-5D6E-409C-BE32-E72D297353CC}">
              <c16:uniqueId val="{00000001-2DEB-45D6-B48B-E996827636AC}"/>
            </c:ext>
          </c:extLst>
        </c:ser>
        <c:dLbls>
          <c:showLegendKey val="0"/>
          <c:showVal val="0"/>
          <c:showCatName val="0"/>
          <c:showSerName val="0"/>
          <c:showPercent val="0"/>
          <c:showBubbleSize val="0"/>
        </c:dLbls>
        <c:gapWidth val="24"/>
        <c:overlap val="100"/>
        <c:axId val="99567104"/>
        <c:axId val="99568640"/>
      </c:barChart>
      <c:catAx>
        <c:axId val="99567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99568640"/>
        <c:crosses val="autoZero"/>
        <c:auto val="0"/>
        <c:lblAlgn val="ctr"/>
        <c:lblOffset val="0"/>
        <c:tickMarkSkip val="4"/>
        <c:noMultiLvlLbl val="0"/>
      </c:catAx>
      <c:valAx>
        <c:axId val="99568640"/>
        <c:scaling>
          <c:orientation val="minMax"/>
          <c:max val="45000"/>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9567104"/>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'3. Evolution organisme'!$B$4</c:f>
              <c:strCache>
                <c:ptCount val="1"/>
                <c:pt idx="0">
                  <c:v>Associations</c:v>
                </c:pt>
              </c:strCache>
            </c:strRef>
          </c:tx>
          <c:spPr>
            <a:solidFill>
              <a:srgbClr val="00AAA1"/>
            </a:solidFill>
            <a:ln w="12700">
              <a:solidFill>
                <a:srgbClr val="000000"/>
              </a:solidFill>
              <a:prstDash val="solid"/>
            </a:ln>
            <a:effectLst/>
          </c:spPr>
          <c:invertIfNegative val="0"/>
          <c:cat>
            <c:numRef>
              <c:f>'3. Evolution organisme'!$C$3:$L$3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 Evolution organisme'!$C$4:$L$4</c:f>
              <c:numCache>
                <c:formatCode>#,##0</c:formatCode>
                <c:ptCount val="10"/>
                <c:pt idx="0">
                  <c:v>5566</c:v>
                </c:pt>
                <c:pt idx="1">
                  <c:v>11023</c:v>
                </c:pt>
                <c:pt idx="2">
                  <c:v>16215</c:v>
                </c:pt>
                <c:pt idx="3">
                  <c:v>17034</c:v>
                </c:pt>
                <c:pt idx="4">
                  <c:v>19217</c:v>
                </c:pt>
                <c:pt idx="5">
                  <c:v>28167</c:v>
                </c:pt>
                <c:pt idx="6">
                  <c:v>41376</c:v>
                </c:pt>
                <c:pt idx="7">
                  <c:v>49910</c:v>
                </c:pt>
                <c:pt idx="8">
                  <c:v>52267</c:v>
                </c:pt>
                <c:pt idx="9">
                  <c:v>51369</c:v>
                </c:pt>
              </c:numCache>
            </c:numRef>
          </c:val>
          <c:extLst>
            <c:ext xmlns:c16="http://schemas.microsoft.com/office/drawing/2014/chart" uri="{C3380CC4-5D6E-409C-BE32-E72D297353CC}">
              <c16:uniqueId val="{00000000-8BF4-4B49-9485-947455A16387}"/>
            </c:ext>
          </c:extLst>
        </c:ser>
        <c:ser>
          <c:idx val="2"/>
          <c:order val="1"/>
          <c:tx>
            <c:strRef>
              <c:f>'3. Evolution organisme'!$B$5</c:f>
              <c:strCache>
                <c:ptCount val="1"/>
                <c:pt idx="0">
                  <c:v>Collectivités territoriales</c:v>
                </c:pt>
              </c:strCache>
            </c:strRef>
          </c:tx>
          <c:spPr>
            <a:solidFill>
              <a:srgbClr val="ED8B00"/>
            </a:solidFill>
            <a:ln w="12700">
              <a:solidFill>
                <a:srgbClr val="000000"/>
              </a:solidFill>
              <a:prstDash val="solid"/>
            </a:ln>
            <a:effectLst/>
          </c:spPr>
          <c:invertIfNegative val="0"/>
          <c:cat>
            <c:numRef>
              <c:f>'3. Evolution organisme'!$C$3:$L$3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 Evolution organisme'!$C$5:$L$5</c:f>
              <c:numCache>
                <c:formatCode>#,##0</c:formatCode>
                <c:ptCount val="10"/>
                <c:pt idx="0">
                  <c:v>251</c:v>
                </c:pt>
                <c:pt idx="1">
                  <c:v>1134</c:v>
                </c:pt>
                <c:pt idx="2">
                  <c:v>1391</c:v>
                </c:pt>
                <c:pt idx="3">
                  <c:v>1356</c:v>
                </c:pt>
                <c:pt idx="4">
                  <c:v>1243</c:v>
                </c:pt>
                <c:pt idx="5">
                  <c:v>2357</c:v>
                </c:pt>
                <c:pt idx="6">
                  <c:v>4072</c:v>
                </c:pt>
                <c:pt idx="7">
                  <c:v>4769</c:v>
                </c:pt>
                <c:pt idx="8">
                  <c:v>4836</c:v>
                </c:pt>
                <c:pt idx="9">
                  <c:v>4585</c:v>
                </c:pt>
              </c:numCache>
            </c:numRef>
          </c:val>
          <c:extLst>
            <c:ext xmlns:c16="http://schemas.microsoft.com/office/drawing/2014/chart" uri="{C3380CC4-5D6E-409C-BE32-E72D297353CC}">
              <c16:uniqueId val="{00000001-8BF4-4B49-9485-947455A16387}"/>
            </c:ext>
          </c:extLst>
        </c:ser>
        <c:ser>
          <c:idx val="0"/>
          <c:order val="2"/>
          <c:tx>
            <c:strRef>
              <c:f>'3. Evolution organisme'!$B$6</c:f>
              <c:strCache>
                <c:ptCount val="1"/>
                <c:pt idx="0">
                  <c:v>Etablissements publics</c:v>
                </c:pt>
              </c:strCache>
            </c:strRef>
          </c:tx>
          <c:spPr>
            <a:solidFill>
              <a:srgbClr val="B0AA9E"/>
            </a:solidFill>
            <a:ln w="12700">
              <a:solidFill>
                <a:srgbClr val="000000"/>
              </a:solidFill>
              <a:prstDash val="solid"/>
            </a:ln>
            <a:effectLst/>
          </c:spPr>
          <c:invertIfNegative val="0"/>
          <c:cat>
            <c:numRef>
              <c:f>'3. Evolution organisme'!$C$3:$L$3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 Evolution organisme'!$C$6:$L$6</c:f>
              <c:numCache>
                <c:formatCode>#,##0</c:formatCode>
                <c:ptCount val="10"/>
                <c:pt idx="0">
                  <c:v>114</c:v>
                </c:pt>
                <c:pt idx="1">
                  <c:v>837</c:v>
                </c:pt>
                <c:pt idx="2">
                  <c:v>1331</c:v>
                </c:pt>
                <c:pt idx="3">
                  <c:v>1069</c:v>
                </c:pt>
                <c:pt idx="4">
                  <c:v>1019</c:v>
                </c:pt>
                <c:pt idx="5">
                  <c:v>3608</c:v>
                </c:pt>
                <c:pt idx="6">
                  <c:v>6238</c:v>
                </c:pt>
                <c:pt idx="7">
                  <c:v>7866</c:v>
                </c:pt>
                <c:pt idx="8">
                  <c:v>8447</c:v>
                </c:pt>
                <c:pt idx="9">
                  <c:v>8102</c:v>
                </c:pt>
              </c:numCache>
            </c:numRef>
          </c:val>
          <c:extLst>
            <c:ext xmlns:c16="http://schemas.microsoft.com/office/drawing/2014/chart" uri="{C3380CC4-5D6E-409C-BE32-E72D297353CC}">
              <c16:uniqueId val="{00000002-8BF4-4B49-9485-947455A16387}"/>
            </c:ext>
          </c:extLst>
        </c:ser>
        <c:ser>
          <c:idx val="3"/>
          <c:order val="3"/>
          <c:tx>
            <c:strRef>
              <c:f>'3. Evolution organisme'!$B$7</c:f>
              <c:strCache>
                <c:ptCount val="1"/>
                <c:pt idx="0">
                  <c:v>Services de l’Etat</c:v>
                </c:pt>
              </c:strCache>
            </c:strRef>
          </c:tx>
          <c:spPr>
            <a:solidFill>
              <a:srgbClr val="F9B000"/>
            </a:solidFill>
            <a:ln w="12700">
              <a:solidFill>
                <a:srgbClr val="000000"/>
              </a:solidFill>
              <a:prstDash val="solid"/>
            </a:ln>
            <a:effectLst/>
          </c:spPr>
          <c:invertIfNegative val="0"/>
          <c:cat>
            <c:numRef>
              <c:f>'3. Evolution organisme'!$C$3:$L$3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 Evolution organisme'!$C$7:$L$7</c:f>
              <c:numCache>
                <c:formatCode>#,##0</c:formatCode>
                <c:ptCount val="10"/>
                <c:pt idx="0">
                  <c:v>0</c:v>
                </c:pt>
                <c:pt idx="1">
                  <c:v>180</c:v>
                </c:pt>
                <c:pt idx="2">
                  <c:v>337</c:v>
                </c:pt>
                <c:pt idx="3">
                  <c:v>345</c:v>
                </c:pt>
                <c:pt idx="4">
                  <c:v>355</c:v>
                </c:pt>
                <c:pt idx="5">
                  <c:v>3763</c:v>
                </c:pt>
                <c:pt idx="6">
                  <c:v>10824</c:v>
                </c:pt>
                <c:pt idx="7">
                  <c:v>15999</c:v>
                </c:pt>
                <c:pt idx="8">
                  <c:v>17112</c:v>
                </c:pt>
                <c:pt idx="9">
                  <c:v>15630</c:v>
                </c:pt>
              </c:numCache>
            </c:numRef>
          </c:val>
          <c:extLst>
            <c:ext xmlns:c16="http://schemas.microsoft.com/office/drawing/2014/chart" uri="{C3380CC4-5D6E-409C-BE32-E72D297353CC}">
              <c16:uniqueId val="{00000003-8BF4-4B49-9485-947455A16387}"/>
            </c:ext>
          </c:extLst>
        </c:ser>
        <c:ser>
          <c:idx val="4"/>
          <c:order val="4"/>
          <c:tx>
            <c:strRef>
              <c:f>'3. Evolution organisme'!$B$8</c:f>
              <c:strCache>
                <c:ptCount val="1"/>
                <c:pt idx="0">
                  <c:v>Autres</c:v>
                </c:pt>
              </c:strCache>
            </c:strRef>
          </c:tx>
          <c:spPr>
            <a:solidFill>
              <a:srgbClr val="B8DEDB"/>
            </a:solidFill>
            <a:ln w="12700">
              <a:solidFill>
                <a:srgbClr val="000000"/>
              </a:solidFill>
              <a:prstDash val="solid"/>
            </a:ln>
            <a:effectLst/>
          </c:spPr>
          <c:invertIfNegative val="0"/>
          <c:cat>
            <c:numRef>
              <c:f>'3. Evolution organisme'!$C$3:$L$3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 Evolution organisme'!$C$8:$L$8</c:f>
              <c:numCache>
                <c:formatCode>#,##0</c:formatCode>
                <c:ptCount val="10"/>
                <c:pt idx="0">
                  <c:v>77</c:v>
                </c:pt>
                <c:pt idx="1">
                  <c:v>229</c:v>
                </c:pt>
                <c:pt idx="2">
                  <c:v>208</c:v>
                </c:pt>
                <c:pt idx="3">
                  <c:v>142</c:v>
                </c:pt>
                <c:pt idx="4">
                  <c:v>91</c:v>
                </c:pt>
                <c:pt idx="5">
                  <c:v>305</c:v>
                </c:pt>
                <c:pt idx="6">
                  <c:v>534</c:v>
                </c:pt>
                <c:pt idx="7">
                  <c:v>525</c:v>
                </c:pt>
                <c:pt idx="8">
                  <c:v>1263</c:v>
                </c:pt>
                <c:pt idx="9">
                  <c:v>1337</c:v>
                </c:pt>
              </c:numCache>
            </c:numRef>
          </c:val>
          <c:extLst>
            <c:ext xmlns:c16="http://schemas.microsoft.com/office/drawing/2014/chart" uri="{C3380CC4-5D6E-409C-BE32-E72D297353CC}">
              <c16:uniqueId val="{00000004-8BF4-4B49-9485-947455A16387}"/>
            </c:ext>
          </c:extLst>
        </c:ser>
        <c:dLbls>
          <c:showLegendKey val="0"/>
          <c:showVal val="0"/>
          <c:showCatName val="0"/>
          <c:showSerName val="0"/>
          <c:showPercent val="0"/>
          <c:showBubbleSize val="0"/>
        </c:dLbls>
        <c:gapWidth val="138"/>
        <c:overlap val="100"/>
        <c:axId val="101030528"/>
        <c:axId val="101093760"/>
      </c:barChart>
      <c:catAx>
        <c:axId val="101030528"/>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101093760"/>
        <c:crosses val="autoZero"/>
        <c:auto val="0"/>
        <c:lblAlgn val="ctr"/>
        <c:lblOffset val="0"/>
        <c:tickLblSkip val="1"/>
        <c:tickMarkSkip val="1"/>
        <c:noMultiLvlLbl val="0"/>
      </c:catAx>
      <c:valAx>
        <c:axId val="10109376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101030528"/>
        <c:crossesAt val="1"/>
        <c:crossBetween val="between"/>
        <c:dispUnits>
          <c:builtInUnit val="thousands"/>
          <c:dispUnitsLbl>
            <c:layout/>
            <c:tx>
              <c:rich>
                <a:bodyPr/>
                <a:lstStyle/>
                <a:p>
                  <a:pPr>
                    <a:defRPr/>
                  </a:pPr>
                  <a:r>
                    <a:rPr lang="fr-FR"/>
                    <a:t>En milliers</a:t>
                  </a:r>
                </a:p>
              </c:rich>
            </c:tx>
          </c:dispUnitsLbl>
        </c:dispUnits>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579129629629628"/>
          <c:y val="6.6305003013863772E-2"/>
          <c:w val="0.64314166666666661"/>
          <c:h val="0.73195864197530869"/>
        </c:manualLayout>
      </c:layout>
      <c:barChart>
        <c:barDir val="bar"/>
        <c:grouping val="percentStacked"/>
        <c:varyColors val="0"/>
        <c:ser>
          <c:idx val="0"/>
          <c:order val="0"/>
          <c:tx>
            <c:strRef>
              <c:f>'4. Profils'!$C$3</c:f>
              <c:strCache>
                <c:ptCount val="1"/>
                <c:pt idx="0">
                  <c:v>Etudiant</c:v>
                </c:pt>
              </c:strCache>
            </c:strRef>
          </c:tx>
          <c:spPr>
            <a:solidFill>
              <a:srgbClr val="00AAA1"/>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Profils'!$C$4:$C$8</c:f>
              <c:numCache>
                <c:formatCode>#,##0</c:formatCode>
                <c:ptCount val="5"/>
                <c:pt idx="0">
                  <c:v>66868</c:v>
                </c:pt>
                <c:pt idx="1">
                  <c:v>50456</c:v>
                </c:pt>
                <c:pt idx="2">
                  <c:v>2191</c:v>
                </c:pt>
                <c:pt idx="3">
                  <c:v>12492</c:v>
                </c:pt>
                <c:pt idx="4">
                  <c:v>132007</c:v>
                </c:pt>
              </c:numCache>
            </c:numRef>
          </c:val>
          <c:extLst>
            <c:ext xmlns:c16="http://schemas.microsoft.com/office/drawing/2014/chart" uri="{C3380CC4-5D6E-409C-BE32-E72D297353CC}">
              <c16:uniqueId val="{00000000-A108-42AF-930B-953A5D6DEE78}"/>
            </c:ext>
          </c:extLst>
        </c:ser>
        <c:ser>
          <c:idx val="1"/>
          <c:order val="1"/>
          <c:tx>
            <c:strRef>
              <c:f>'4. Profils'!$D$3</c:f>
              <c:strCache>
                <c:ptCount val="1"/>
                <c:pt idx="0">
                  <c:v>Salarié</c:v>
                </c:pt>
              </c:strCache>
            </c:strRef>
          </c:tx>
          <c:spPr>
            <a:solidFill>
              <a:srgbClr val="ED8B00"/>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Profils'!$D$4:$D$8</c:f>
              <c:numCache>
                <c:formatCode>#,##0</c:formatCode>
                <c:ptCount val="5"/>
                <c:pt idx="0">
                  <c:v>6644</c:v>
                </c:pt>
                <c:pt idx="1">
                  <c:v>6459</c:v>
                </c:pt>
                <c:pt idx="2">
                  <c:v>1269</c:v>
                </c:pt>
                <c:pt idx="3">
                  <c:v>2052</c:v>
                </c:pt>
                <c:pt idx="4">
                  <c:v>16424</c:v>
                </c:pt>
              </c:numCache>
            </c:numRef>
          </c:val>
          <c:extLst>
            <c:ext xmlns:c16="http://schemas.microsoft.com/office/drawing/2014/chart" uri="{C3380CC4-5D6E-409C-BE32-E72D297353CC}">
              <c16:uniqueId val="{00000001-A108-42AF-930B-953A5D6DEE78}"/>
            </c:ext>
          </c:extLst>
        </c:ser>
        <c:ser>
          <c:idx val="2"/>
          <c:order val="2"/>
          <c:tx>
            <c:strRef>
              <c:f>'4. Profils'!$E$3</c:f>
              <c:strCache>
                <c:ptCount val="1"/>
                <c:pt idx="0">
                  <c:v>Demandeur d'emploi</c:v>
                </c:pt>
              </c:strCache>
            </c:strRef>
          </c:tx>
          <c:spPr>
            <a:solidFill>
              <a:srgbClr val="B0AA9E"/>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Profils'!$E$4:$E$8</c:f>
              <c:numCache>
                <c:formatCode>#,##0</c:formatCode>
                <c:ptCount val="5"/>
                <c:pt idx="0">
                  <c:v>54075</c:v>
                </c:pt>
                <c:pt idx="1">
                  <c:v>74750</c:v>
                </c:pt>
                <c:pt idx="2">
                  <c:v>20301</c:v>
                </c:pt>
                <c:pt idx="3">
                  <c:v>41473</c:v>
                </c:pt>
                <c:pt idx="4">
                  <c:v>190599</c:v>
                </c:pt>
              </c:numCache>
            </c:numRef>
          </c:val>
          <c:extLst>
            <c:ext xmlns:c16="http://schemas.microsoft.com/office/drawing/2014/chart" uri="{C3380CC4-5D6E-409C-BE32-E72D297353CC}">
              <c16:uniqueId val="{00000002-A108-42AF-930B-953A5D6DEE78}"/>
            </c:ext>
          </c:extLst>
        </c:ser>
        <c:ser>
          <c:idx val="3"/>
          <c:order val="3"/>
          <c:tx>
            <c:strRef>
              <c:f>'4. Profils'!$F$3</c:f>
              <c:strCache>
                <c:ptCount val="1"/>
                <c:pt idx="0">
                  <c:v>Inactif (hors étudiant)</c:v>
                </c:pt>
              </c:strCache>
            </c:strRef>
          </c:tx>
          <c:spPr>
            <a:solidFill>
              <a:srgbClr val="F9B000"/>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Profils'!$F$4:$F$8</c:f>
              <c:numCache>
                <c:formatCode>#,##0</c:formatCode>
                <c:ptCount val="5"/>
                <c:pt idx="0">
                  <c:v>23021</c:v>
                </c:pt>
                <c:pt idx="1">
                  <c:v>38732</c:v>
                </c:pt>
                <c:pt idx="2">
                  <c:v>11298</c:v>
                </c:pt>
                <c:pt idx="3">
                  <c:v>13944</c:v>
                </c:pt>
                <c:pt idx="4">
                  <c:v>86995</c:v>
                </c:pt>
              </c:numCache>
            </c:numRef>
          </c:val>
          <c:extLst>
            <c:ext xmlns:c16="http://schemas.microsoft.com/office/drawing/2014/chart" uri="{C3380CC4-5D6E-409C-BE32-E72D297353CC}">
              <c16:uniqueId val="{00000003-A108-42AF-930B-953A5D6DEE78}"/>
            </c:ext>
          </c:extLst>
        </c:ser>
        <c:dLbls>
          <c:showLegendKey val="0"/>
          <c:showVal val="0"/>
          <c:showCatName val="0"/>
          <c:showSerName val="0"/>
          <c:showPercent val="0"/>
          <c:showBubbleSize val="0"/>
        </c:dLbls>
        <c:gapWidth val="92"/>
        <c:overlap val="100"/>
        <c:axId val="112396544"/>
        <c:axId val="30593408"/>
      </c:barChart>
      <c:catAx>
        <c:axId val="112396544"/>
        <c:scaling>
          <c:orientation val="minMax"/>
        </c:scaling>
        <c:delete val="0"/>
        <c:axPos val="l"/>
        <c:numFmt formatCode="General" sourceLinked="0"/>
        <c:majorTickMark val="none"/>
        <c:minorTickMark val="none"/>
        <c:tickLblPos val="low"/>
        <c:spPr>
          <a:ln w="12700">
            <a:solidFill>
              <a:srgbClr val="000000"/>
            </a:solidFill>
            <a:prstDash val="solid"/>
          </a:ln>
        </c:spPr>
        <c:txPr>
          <a:bodyPr rot="0" vert="horz"/>
          <a:lstStyle/>
          <a:p>
            <a:pPr>
              <a:defRPr/>
            </a:pPr>
            <a:endParaRPr lang="fr-FR"/>
          </a:p>
        </c:txPr>
        <c:crossAx val="30593408"/>
        <c:crosses val="autoZero"/>
        <c:auto val="1"/>
        <c:lblAlgn val="ctr"/>
        <c:lblOffset val="0"/>
        <c:tickLblSkip val="1"/>
        <c:tickMarkSkip val="1"/>
        <c:noMultiLvlLbl val="0"/>
      </c:catAx>
      <c:valAx>
        <c:axId val="30593408"/>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112396544"/>
        <c:crossesAt val="1"/>
        <c:crossBetween val="between"/>
        <c:majorUnit val="0.25"/>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'5. Profils'!$B$4</c:f>
              <c:strCache>
                <c:ptCount val="1"/>
                <c:pt idx="0">
                  <c:v>Etudiant</c:v>
                </c:pt>
              </c:strCache>
            </c:strRef>
          </c:tx>
          <c:spPr>
            <a:solidFill>
              <a:srgbClr val="00AAA1"/>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Profils'!$C$4:$K$4</c:f>
              <c:numCache>
                <c:formatCode>#,##0</c:formatCode>
                <c:ptCount val="9"/>
                <c:pt idx="0">
                  <c:v>33.99</c:v>
                </c:pt>
                <c:pt idx="1">
                  <c:v>33.85</c:v>
                </c:pt>
                <c:pt idx="2">
                  <c:v>33.42</c:v>
                </c:pt>
                <c:pt idx="3">
                  <c:v>33.770000000000003</c:v>
                </c:pt>
                <c:pt idx="4">
                  <c:v>29.88</c:v>
                </c:pt>
                <c:pt idx="5">
                  <c:v>28.91</c:v>
                </c:pt>
                <c:pt idx="6">
                  <c:v>30</c:v>
                </c:pt>
                <c:pt idx="7">
                  <c:v>31</c:v>
                </c:pt>
                <c:pt idx="8">
                  <c:v>32</c:v>
                </c:pt>
              </c:numCache>
            </c:numRef>
          </c:val>
          <c:extLst>
            <c:ext xmlns:c16="http://schemas.microsoft.com/office/drawing/2014/chart" uri="{C3380CC4-5D6E-409C-BE32-E72D297353CC}">
              <c16:uniqueId val="{00000000-9DD6-4758-AF07-60193F5811B8}"/>
            </c:ext>
          </c:extLst>
        </c:ser>
        <c:ser>
          <c:idx val="3"/>
          <c:order val="1"/>
          <c:tx>
            <c:strRef>
              <c:f>'5. Profils'!$B$7</c:f>
              <c:strCache>
                <c:ptCount val="1"/>
                <c:pt idx="0">
                  <c:v>Salarié</c:v>
                </c:pt>
              </c:strCache>
            </c:strRef>
          </c:tx>
          <c:spPr>
            <a:solidFill>
              <a:srgbClr val="ED8B00"/>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Profils'!$C$7:$K$7</c:f>
              <c:numCache>
                <c:formatCode>#,##0</c:formatCode>
                <c:ptCount val="9"/>
                <c:pt idx="0">
                  <c:v>5.71</c:v>
                </c:pt>
                <c:pt idx="1">
                  <c:v>5.23</c:v>
                </c:pt>
                <c:pt idx="2">
                  <c:v>4.51</c:v>
                </c:pt>
                <c:pt idx="3">
                  <c:v>3.9</c:v>
                </c:pt>
                <c:pt idx="4">
                  <c:v>3.76</c:v>
                </c:pt>
                <c:pt idx="5">
                  <c:v>3.59</c:v>
                </c:pt>
                <c:pt idx="6">
                  <c:v>4</c:v>
                </c:pt>
                <c:pt idx="7">
                  <c:v>4</c:v>
                </c:pt>
                <c:pt idx="8">
                  <c:v>4</c:v>
                </c:pt>
              </c:numCache>
            </c:numRef>
          </c:val>
          <c:extLst>
            <c:ext xmlns:c16="http://schemas.microsoft.com/office/drawing/2014/chart" uri="{C3380CC4-5D6E-409C-BE32-E72D297353CC}">
              <c16:uniqueId val="{00000001-9DD6-4758-AF07-60193F5811B8}"/>
            </c:ext>
          </c:extLst>
        </c:ser>
        <c:ser>
          <c:idx val="1"/>
          <c:order val="2"/>
          <c:tx>
            <c:strRef>
              <c:f>'5. Profils'!$B$5</c:f>
              <c:strCache>
                <c:ptCount val="1"/>
                <c:pt idx="0">
                  <c:v>Demandeur d'emploi</c:v>
                </c:pt>
              </c:strCache>
            </c:strRef>
          </c:tx>
          <c:spPr>
            <a:solidFill>
              <a:srgbClr val="B0AA9E"/>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Profils'!$C$5:$K$5</c:f>
              <c:numCache>
                <c:formatCode>#,##0</c:formatCode>
                <c:ptCount val="9"/>
                <c:pt idx="0">
                  <c:v>47.29</c:v>
                </c:pt>
                <c:pt idx="1">
                  <c:v>47.36</c:v>
                </c:pt>
                <c:pt idx="2">
                  <c:v>48.07</c:v>
                </c:pt>
                <c:pt idx="3">
                  <c:v>45.93</c:v>
                </c:pt>
                <c:pt idx="4">
                  <c:v>47.91</c:v>
                </c:pt>
                <c:pt idx="5">
                  <c:v>47.72</c:v>
                </c:pt>
                <c:pt idx="6">
                  <c:v>45</c:v>
                </c:pt>
                <c:pt idx="7">
                  <c:v>43</c:v>
                </c:pt>
                <c:pt idx="8">
                  <c:v>40</c:v>
                </c:pt>
              </c:numCache>
            </c:numRef>
          </c:val>
          <c:extLst>
            <c:ext xmlns:c16="http://schemas.microsoft.com/office/drawing/2014/chart" uri="{C3380CC4-5D6E-409C-BE32-E72D297353CC}">
              <c16:uniqueId val="{00000002-9DD6-4758-AF07-60193F5811B8}"/>
            </c:ext>
          </c:extLst>
        </c:ser>
        <c:ser>
          <c:idx val="2"/>
          <c:order val="3"/>
          <c:tx>
            <c:strRef>
              <c:f>'5. Profils'!$B$6</c:f>
              <c:strCache>
                <c:ptCount val="1"/>
                <c:pt idx="0">
                  <c:v>Inactif (hors étudiant)</c:v>
                </c:pt>
              </c:strCache>
            </c:strRef>
          </c:tx>
          <c:spPr>
            <a:solidFill>
              <a:srgbClr val="F9B000"/>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Profils'!$C$6:$K$6</c:f>
              <c:numCache>
                <c:formatCode>#,##0</c:formatCode>
                <c:ptCount val="9"/>
                <c:pt idx="0">
                  <c:v>13.01</c:v>
                </c:pt>
                <c:pt idx="1">
                  <c:v>13.57</c:v>
                </c:pt>
                <c:pt idx="2">
                  <c:v>14</c:v>
                </c:pt>
                <c:pt idx="3">
                  <c:v>16.41</c:v>
                </c:pt>
                <c:pt idx="4">
                  <c:v>18.45</c:v>
                </c:pt>
                <c:pt idx="5">
                  <c:v>19.78</c:v>
                </c:pt>
                <c:pt idx="6">
                  <c:v>21</c:v>
                </c:pt>
                <c:pt idx="7">
                  <c:v>23</c:v>
                </c:pt>
                <c:pt idx="8">
                  <c:v>24</c:v>
                </c:pt>
              </c:numCache>
            </c:numRef>
          </c:val>
          <c:extLst>
            <c:ext xmlns:c16="http://schemas.microsoft.com/office/drawing/2014/chart" uri="{C3380CC4-5D6E-409C-BE32-E72D297353CC}">
              <c16:uniqueId val="{00000003-9DD6-4758-AF07-60193F5811B8}"/>
            </c:ext>
          </c:extLst>
        </c:ser>
        <c:dLbls>
          <c:showLegendKey val="0"/>
          <c:showVal val="0"/>
          <c:showCatName val="0"/>
          <c:showSerName val="0"/>
          <c:showPercent val="0"/>
          <c:showBubbleSize val="0"/>
        </c:dLbls>
        <c:gapWidth val="125"/>
        <c:overlap val="100"/>
        <c:axId val="38063488"/>
        <c:axId val="38065280"/>
      </c:barChart>
      <c:catAx>
        <c:axId val="38063488"/>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38065280"/>
        <c:crosses val="autoZero"/>
        <c:auto val="0"/>
        <c:lblAlgn val="ctr"/>
        <c:lblOffset val="0"/>
        <c:tickLblSkip val="1"/>
        <c:tickMarkSkip val="1"/>
        <c:noMultiLvlLbl val="0"/>
      </c:catAx>
      <c:valAx>
        <c:axId val="3806528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38063488"/>
        <c:crossesAt val="1"/>
        <c:crossBetween val="between"/>
        <c:majorUnit val="0.2"/>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'5. Profils'!$B$9</c:f>
              <c:strCache>
                <c:ptCount val="1"/>
                <c:pt idx="0">
                  <c:v>Brevet ou non diplômé</c:v>
                </c:pt>
              </c:strCache>
            </c:strRef>
          </c:tx>
          <c:spPr>
            <a:solidFill>
              <a:srgbClr val="00AAA1"/>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Profils'!$C$9:$K$9</c:f>
              <c:numCache>
                <c:formatCode>#,##0</c:formatCode>
                <c:ptCount val="9"/>
                <c:pt idx="0">
                  <c:v>22.66</c:v>
                </c:pt>
                <c:pt idx="1">
                  <c:v>20.28</c:v>
                </c:pt>
                <c:pt idx="2">
                  <c:v>18.11</c:v>
                </c:pt>
                <c:pt idx="3">
                  <c:v>17.55</c:v>
                </c:pt>
                <c:pt idx="4">
                  <c:v>17.61</c:v>
                </c:pt>
                <c:pt idx="5">
                  <c:v>17.57</c:v>
                </c:pt>
                <c:pt idx="6">
                  <c:v>17</c:v>
                </c:pt>
                <c:pt idx="7">
                  <c:v>17</c:v>
                </c:pt>
                <c:pt idx="8">
                  <c:v>17</c:v>
                </c:pt>
              </c:numCache>
            </c:numRef>
          </c:val>
          <c:extLst>
            <c:ext xmlns:c16="http://schemas.microsoft.com/office/drawing/2014/chart" uri="{C3380CC4-5D6E-409C-BE32-E72D297353CC}">
              <c16:uniqueId val="{00000000-40C2-410D-9B02-01CBDC3D86B8}"/>
            </c:ext>
          </c:extLst>
        </c:ser>
        <c:ser>
          <c:idx val="1"/>
          <c:order val="1"/>
          <c:tx>
            <c:strRef>
              <c:f>'5. Profils'!$B$10</c:f>
              <c:strCache>
                <c:ptCount val="1"/>
                <c:pt idx="0">
                  <c:v>CAP-BEP</c:v>
                </c:pt>
              </c:strCache>
            </c:strRef>
          </c:tx>
          <c:spPr>
            <a:solidFill>
              <a:srgbClr val="ED8B00"/>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Profils'!$C$10:$K$10</c:f>
              <c:numCache>
                <c:formatCode>#,##0</c:formatCode>
                <c:ptCount val="9"/>
                <c:pt idx="0">
                  <c:v>0.16</c:v>
                </c:pt>
                <c:pt idx="1">
                  <c:v>4.4800000000000004</c:v>
                </c:pt>
                <c:pt idx="2">
                  <c:v>7.2</c:v>
                </c:pt>
                <c:pt idx="3">
                  <c:v>6.21</c:v>
                </c:pt>
                <c:pt idx="4">
                  <c:v>6.93</c:v>
                </c:pt>
                <c:pt idx="5">
                  <c:v>7.67</c:v>
                </c:pt>
                <c:pt idx="6">
                  <c:v>8</c:v>
                </c:pt>
                <c:pt idx="7">
                  <c:v>8</c:v>
                </c:pt>
                <c:pt idx="8">
                  <c:v>7</c:v>
                </c:pt>
              </c:numCache>
            </c:numRef>
          </c:val>
          <c:extLst>
            <c:ext xmlns:c16="http://schemas.microsoft.com/office/drawing/2014/chart" uri="{C3380CC4-5D6E-409C-BE32-E72D297353CC}">
              <c16:uniqueId val="{00000001-40C2-410D-9B02-01CBDC3D86B8}"/>
            </c:ext>
          </c:extLst>
        </c:ser>
        <c:ser>
          <c:idx val="2"/>
          <c:order val="2"/>
          <c:tx>
            <c:strRef>
              <c:f>'5. Profils'!$B$11</c:f>
              <c:strCache>
                <c:ptCount val="1"/>
                <c:pt idx="0">
                  <c:v>Baccalauréat</c:v>
                </c:pt>
              </c:strCache>
            </c:strRef>
          </c:tx>
          <c:spPr>
            <a:solidFill>
              <a:srgbClr val="B0AA9E"/>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Profils'!$C$11:$K$11</c:f>
              <c:numCache>
                <c:formatCode>#,##0</c:formatCode>
                <c:ptCount val="9"/>
                <c:pt idx="0">
                  <c:v>35.58</c:v>
                </c:pt>
                <c:pt idx="1">
                  <c:v>33.51</c:v>
                </c:pt>
                <c:pt idx="2">
                  <c:v>31.72</c:v>
                </c:pt>
                <c:pt idx="3">
                  <c:v>33.81</c:v>
                </c:pt>
                <c:pt idx="4">
                  <c:v>36.4</c:v>
                </c:pt>
                <c:pt idx="5">
                  <c:v>39.85</c:v>
                </c:pt>
                <c:pt idx="6">
                  <c:v>42</c:v>
                </c:pt>
                <c:pt idx="7">
                  <c:v>43</c:v>
                </c:pt>
                <c:pt idx="8">
                  <c:v>43</c:v>
                </c:pt>
              </c:numCache>
            </c:numRef>
          </c:val>
          <c:extLst>
            <c:ext xmlns:c16="http://schemas.microsoft.com/office/drawing/2014/chart" uri="{C3380CC4-5D6E-409C-BE32-E72D297353CC}">
              <c16:uniqueId val="{00000002-40C2-410D-9B02-01CBDC3D86B8}"/>
            </c:ext>
          </c:extLst>
        </c:ser>
        <c:ser>
          <c:idx val="3"/>
          <c:order val="3"/>
          <c:tx>
            <c:strRef>
              <c:f>'5. Profils'!$B$12</c:f>
              <c:strCache>
                <c:ptCount val="1"/>
                <c:pt idx="0">
                  <c:v>&gt; Baccalauréat</c:v>
                </c:pt>
              </c:strCache>
            </c:strRef>
          </c:tx>
          <c:spPr>
            <a:solidFill>
              <a:srgbClr val="F9B000"/>
            </a:solidFill>
            <a:ln w="12700">
              <a:solidFill>
                <a:srgbClr val="000000"/>
              </a:solidFill>
              <a:prstDash val="solid"/>
            </a:ln>
            <a:effectLst/>
          </c:spPr>
          <c:invertIfNegative val="0"/>
          <c:cat>
            <c:numRef>
              <c:f>'5. Profils'!$C$3:$K$3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 Profils'!$C$12:$K$12</c:f>
              <c:numCache>
                <c:formatCode>#,##0</c:formatCode>
                <c:ptCount val="9"/>
                <c:pt idx="0">
                  <c:v>41.6</c:v>
                </c:pt>
                <c:pt idx="1">
                  <c:v>41.74</c:v>
                </c:pt>
                <c:pt idx="2">
                  <c:v>42.98</c:v>
                </c:pt>
                <c:pt idx="3">
                  <c:v>42.43</c:v>
                </c:pt>
                <c:pt idx="4">
                  <c:v>39.06</c:v>
                </c:pt>
                <c:pt idx="5">
                  <c:v>34.92</c:v>
                </c:pt>
                <c:pt idx="6">
                  <c:v>33</c:v>
                </c:pt>
                <c:pt idx="7">
                  <c:v>32</c:v>
                </c:pt>
                <c:pt idx="8">
                  <c:v>33</c:v>
                </c:pt>
              </c:numCache>
            </c:numRef>
          </c:val>
          <c:extLst>
            <c:ext xmlns:c16="http://schemas.microsoft.com/office/drawing/2014/chart" uri="{C3380CC4-5D6E-409C-BE32-E72D297353CC}">
              <c16:uniqueId val="{00000003-40C2-410D-9B02-01CBDC3D86B8}"/>
            </c:ext>
          </c:extLst>
        </c:ser>
        <c:dLbls>
          <c:showLegendKey val="0"/>
          <c:showVal val="0"/>
          <c:showCatName val="0"/>
          <c:showSerName val="0"/>
          <c:showPercent val="0"/>
          <c:showBubbleSize val="0"/>
        </c:dLbls>
        <c:gapWidth val="150"/>
        <c:overlap val="100"/>
        <c:axId val="56165504"/>
        <c:axId val="56167040"/>
      </c:barChart>
      <c:catAx>
        <c:axId val="561655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56167040"/>
        <c:crosses val="autoZero"/>
        <c:auto val="1"/>
        <c:lblAlgn val="ctr"/>
        <c:lblOffset val="0"/>
        <c:tickLblSkip val="1"/>
        <c:tickMarkSkip val="1"/>
        <c:noMultiLvlLbl val="0"/>
      </c:catAx>
      <c:valAx>
        <c:axId val="5616704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56165504"/>
        <c:crossesAt val="1"/>
        <c:crossBetween val="between"/>
        <c:majorUnit val="0.2"/>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'6. Âge'!$B$12</c:f>
              <c:strCache>
                <c:ptCount val="1"/>
                <c:pt idx="0">
                  <c:v>16-18 ans</c:v>
                </c:pt>
              </c:strCache>
            </c:strRef>
          </c:tx>
          <c:spPr>
            <a:solidFill>
              <a:srgbClr val="00AAA1"/>
            </a:solidFill>
            <a:ln w="12700">
              <a:solidFill>
                <a:srgbClr val="000000"/>
              </a:solidFill>
              <a:prstDash val="solid"/>
            </a:ln>
            <a:effectLst/>
          </c:spPr>
          <c:invertIfNegative val="0"/>
          <c:cat>
            <c:numRef>
              <c:f>'6. Âge'!$C$3:$K$3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'6. Âge'!$C$12:$K$12</c:f>
              <c:numCache>
                <c:formatCode>0</c:formatCode>
                <c:ptCount val="9"/>
                <c:pt idx="0">
                  <c:v>10.37</c:v>
                </c:pt>
                <c:pt idx="1">
                  <c:v>10.81</c:v>
                </c:pt>
                <c:pt idx="2">
                  <c:v>11.65</c:v>
                </c:pt>
                <c:pt idx="3">
                  <c:v>13.64</c:v>
                </c:pt>
                <c:pt idx="4">
                  <c:v>14.27</c:v>
                </c:pt>
                <c:pt idx="5">
                  <c:v>15.96</c:v>
                </c:pt>
                <c:pt idx="6">
                  <c:v>17.350000000000001</c:v>
                </c:pt>
                <c:pt idx="7">
                  <c:v>20</c:v>
                </c:pt>
                <c:pt idx="8">
                  <c:v>21</c:v>
                </c:pt>
              </c:numCache>
            </c:numRef>
          </c:val>
          <c:extLst>
            <c:ext xmlns:c16="http://schemas.microsoft.com/office/drawing/2014/chart" uri="{C3380CC4-5D6E-409C-BE32-E72D297353CC}">
              <c16:uniqueId val="{00000000-C9DC-4DBA-8330-8E895F4F0F6F}"/>
            </c:ext>
          </c:extLst>
        </c:ser>
        <c:ser>
          <c:idx val="1"/>
          <c:order val="1"/>
          <c:tx>
            <c:strRef>
              <c:f>'6. Âge'!$B$13</c:f>
              <c:strCache>
                <c:ptCount val="1"/>
                <c:pt idx="0">
                  <c:v>19-20 ans</c:v>
                </c:pt>
              </c:strCache>
            </c:strRef>
          </c:tx>
          <c:spPr>
            <a:solidFill>
              <a:srgbClr val="ED8B00"/>
            </a:solidFill>
            <a:ln w="12700">
              <a:solidFill>
                <a:srgbClr val="000000"/>
              </a:solidFill>
              <a:prstDash val="solid"/>
            </a:ln>
            <a:effectLst/>
          </c:spPr>
          <c:invertIfNegative val="0"/>
          <c:cat>
            <c:numRef>
              <c:f>'6. Âge'!$C$3:$K$3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'6. Âge'!$C$13:$K$13</c:f>
              <c:numCache>
                <c:formatCode>0</c:formatCode>
                <c:ptCount val="9"/>
                <c:pt idx="0">
                  <c:v>26.28</c:v>
                </c:pt>
                <c:pt idx="1">
                  <c:v>25.91</c:v>
                </c:pt>
                <c:pt idx="2">
                  <c:v>25.12</c:v>
                </c:pt>
                <c:pt idx="3">
                  <c:v>25.7</c:v>
                </c:pt>
                <c:pt idx="4">
                  <c:v>27.95</c:v>
                </c:pt>
                <c:pt idx="5">
                  <c:v>29.6</c:v>
                </c:pt>
                <c:pt idx="6">
                  <c:v>30.68</c:v>
                </c:pt>
                <c:pt idx="7">
                  <c:v>31</c:v>
                </c:pt>
                <c:pt idx="8">
                  <c:v>32</c:v>
                </c:pt>
              </c:numCache>
            </c:numRef>
          </c:val>
          <c:extLst>
            <c:ext xmlns:c16="http://schemas.microsoft.com/office/drawing/2014/chart" uri="{C3380CC4-5D6E-409C-BE32-E72D297353CC}">
              <c16:uniqueId val="{00000001-C9DC-4DBA-8330-8E895F4F0F6F}"/>
            </c:ext>
          </c:extLst>
        </c:ser>
        <c:ser>
          <c:idx val="2"/>
          <c:order val="2"/>
          <c:tx>
            <c:strRef>
              <c:f>'6. Âge'!$B$14</c:f>
              <c:strCache>
                <c:ptCount val="1"/>
                <c:pt idx="0">
                  <c:v>21-22 ans</c:v>
                </c:pt>
              </c:strCache>
            </c:strRef>
          </c:tx>
          <c:spPr>
            <a:solidFill>
              <a:srgbClr val="B0AA9E"/>
            </a:solidFill>
            <a:ln w="12700">
              <a:solidFill>
                <a:srgbClr val="000000"/>
              </a:solidFill>
              <a:prstDash val="solid"/>
            </a:ln>
            <a:effectLst/>
          </c:spPr>
          <c:invertIfNegative val="0"/>
          <c:cat>
            <c:numRef>
              <c:f>'6. Âge'!$C$3:$K$3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'6. Âge'!$C$14:$K$14</c:f>
              <c:numCache>
                <c:formatCode>0</c:formatCode>
                <c:ptCount val="9"/>
                <c:pt idx="0">
                  <c:v>29.32</c:v>
                </c:pt>
                <c:pt idx="1">
                  <c:v>28.99</c:v>
                </c:pt>
                <c:pt idx="2">
                  <c:v>28.93</c:v>
                </c:pt>
                <c:pt idx="3">
                  <c:v>27.35</c:v>
                </c:pt>
                <c:pt idx="4">
                  <c:v>26.84</c:v>
                </c:pt>
                <c:pt idx="5">
                  <c:v>26.87</c:v>
                </c:pt>
                <c:pt idx="6">
                  <c:v>26.74</c:v>
                </c:pt>
                <c:pt idx="7">
                  <c:v>26</c:v>
                </c:pt>
                <c:pt idx="8">
                  <c:v>25</c:v>
                </c:pt>
              </c:numCache>
            </c:numRef>
          </c:val>
          <c:extLst>
            <c:ext xmlns:c16="http://schemas.microsoft.com/office/drawing/2014/chart" uri="{C3380CC4-5D6E-409C-BE32-E72D297353CC}">
              <c16:uniqueId val="{00000002-C9DC-4DBA-8330-8E895F4F0F6F}"/>
            </c:ext>
          </c:extLst>
        </c:ser>
        <c:ser>
          <c:idx val="3"/>
          <c:order val="3"/>
          <c:tx>
            <c:strRef>
              <c:f>'6. Âge'!$B$15</c:f>
              <c:strCache>
                <c:ptCount val="1"/>
                <c:pt idx="0">
                  <c:v>23-24 ans</c:v>
                </c:pt>
              </c:strCache>
            </c:strRef>
          </c:tx>
          <c:spPr>
            <a:solidFill>
              <a:srgbClr val="F9B000"/>
            </a:solidFill>
            <a:ln w="12700">
              <a:solidFill>
                <a:srgbClr val="000000"/>
              </a:solidFill>
              <a:prstDash val="solid"/>
            </a:ln>
            <a:effectLst/>
          </c:spPr>
          <c:invertIfNegative val="0"/>
          <c:cat>
            <c:numRef>
              <c:f>'6. Âge'!$C$3:$K$3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'6. Âge'!$C$15:$K$15</c:f>
              <c:numCache>
                <c:formatCode>0</c:formatCode>
                <c:ptCount val="9"/>
                <c:pt idx="0">
                  <c:v>26.33</c:v>
                </c:pt>
                <c:pt idx="1">
                  <c:v>26.560000000000002</c:v>
                </c:pt>
                <c:pt idx="2">
                  <c:v>26.34</c:v>
                </c:pt>
                <c:pt idx="3">
                  <c:v>25.560000000000002</c:v>
                </c:pt>
                <c:pt idx="4">
                  <c:v>24.18</c:v>
                </c:pt>
                <c:pt idx="5">
                  <c:v>21.27</c:v>
                </c:pt>
                <c:pt idx="6">
                  <c:v>19.36</c:v>
                </c:pt>
                <c:pt idx="7">
                  <c:v>18</c:v>
                </c:pt>
                <c:pt idx="8">
                  <c:v>17</c:v>
                </c:pt>
              </c:numCache>
            </c:numRef>
          </c:val>
          <c:extLst>
            <c:ext xmlns:c16="http://schemas.microsoft.com/office/drawing/2014/chart" uri="{C3380CC4-5D6E-409C-BE32-E72D297353CC}">
              <c16:uniqueId val="{00000003-C9DC-4DBA-8330-8E895F4F0F6F}"/>
            </c:ext>
          </c:extLst>
        </c:ser>
        <c:ser>
          <c:idx val="4"/>
          <c:order val="4"/>
          <c:tx>
            <c:strRef>
              <c:f>'6. Âge'!$B$16</c:f>
              <c:strCache>
                <c:ptCount val="1"/>
                <c:pt idx="0">
                  <c:v>25 ans et +</c:v>
                </c:pt>
              </c:strCache>
            </c:strRef>
          </c:tx>
          <c:spPr>
            <a:solidFill>
              <a:srgbClr val="B8DEDB"/>
            </a:solidFill>
            <a:ln w="12700">
              <a:solidFill>
                <a:srgbClr val="000000"/>
              </a:solidFill>
              <a:prstDash val="solid"/>
            </a:ln>
            <a:effectLst/>
          </c:spPr>
          <c:invertIfNegative val="0"/>
          <c:cat>
            <c:numRef>
              <c:f>'6. Âge'!$C$3:$K$3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'6. Âge'!$C$16:$K$16</c:f>
              <c:numCache>
                <c:formatCode>0</c:formatCode>
                <c:ptCount val="9"/>
                <c:pt idx="0">
                  <c:v>7.6899999999999995</c:v>
                </c:pt>
                <c:pt idx="1">
                  <c:v>7.7299999999999995</c:v>
                </c:pt>
                <c:pt idx="2">
                  <c:v>7.95</c:v>
                </c:pt>
                <c:pt idx="3">
                  <c:v>7.75</c:v>
                </c:pt>
                <c:pt idx="4">
                  <c:v>6.7600000000000007</c:v>
                </c:pt>
                <c:pt idx="5">
                  <c:v>6.3</c:v>
                </c:pt>
                <c:pt idx="6">
                  <c:v>5.88</c:v>
                </c:pt>
                <c:pt idx="7">
                  <c:v>5</c:v>
                </c:pt>
                <c:pt idx="8">
                  <c:v>5</c:v>
                </c:pt>
              </c:numCache>
            </c:numRef>
          </c:val>
          <c:extLst>
            <c:ext xmlns:c16="http://schemas.microsoft.com/office/drawing/2014/chart" uri="{C3380CC4-5D6E-409C-BE32-E72D297353CC}">
              <c16:uniqueId val="{00000004-C9DC-4DBA-8330-8E895F4F0F6F}"/>
            </c:ext>
          </c:extLst>
        </c:ser>
        <c:dLbls>
          <c:showLegendKey val="0"/>
          <c:showVal val="0"/>
          <c:showCatName val="0"/>
          <c:showSerName val="0"/>
          <c:showPercent val="0"/>
          <c:showBubbleSize val="0"/>
        </c:dLbls>
        <c:gapWidth val="87"/>
        <c:overlap val="100"/>
        <c:axId val="58908672"/>
        <c:axId val="58910208"/>
      </c:barChart>
      <c:catAx>
        <c:axId val="5890867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58910208"/>
        <c:crosses val="autoZero"/>
        <c:auto val="1"/>
        <c:lblAlgn val="ctr"/>
        <c:lblOffset val="0"/>
        <c:tickLblSkip val="1"/>
        <c:tickMarkSkip val="1"/>
        <c:noMultiLvlLbl val="0"/>
      </c:catAx>
      <c:valAx>
        <c:axId val="5891020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58908672"/>
        <c:crossesAt val="1"/>
        <c:crossBetween val="between"/>
        <c:majorUnit val="0.25"/>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0278196932701E-2"/>
          <c:y val="5.5229320987654332E-2"/>
          <c:w val="0.55691184943345495"/>
          <c:h val="0.86047006172839502"/>
        </c:manualLayout>
      </c:layout>
      <c:lineChart>
        <c:grouping val="standard"/>
        <c:varyColors val="0"/>
        <c:ser>
          <c:idx val="0"/>
          <c:order val="0"/>
          <c:tx>
            <c:strRef>
              <c:f>'9. Domaines'!$B$4</c:f>
              <c:strCache>
                <c:ptCount val="1"/>
                <c:pt idx="0">
                  <c:v>Solidarité</c:v>
                </c:pt>
              </c:strCache>
            </c:strRef>
          </c:tx>
          <c:spPr>
            <a:ln w="38100">
              <a:solidFill>
                <a:srgbClr val="00AAA1"/>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Domaines'!$C$4:$L$4</c:f>
              <c:numCache>
                <c:formatCode>0</c:formatCode>
                <c:ptCount val="10"/>
                <c:pt idx="0">
                  <c:v>27.113848202396806</c:v>
                </c:pt>
                <c:pt idx="1">
                  <c:v>27.710214131164662</c:v>
                </c:pt>
                <c:pt idx="2">
                  <c:v>26.380903490759756</c:v>
                </c:pt>
                <c:pt idx="3">
                  <c:v>25.79965907951469</c:v>
                </c:pt>
                <c:pt idx="4">
                  <c:v>25.482326111744584</c:v>
                </c:pt>
                <c:pt idx="5">
                  <c:v>29.074059530354194</c:v>
                </c:pt>
                <c:pt idx="6">
                  <c:v>27.702831386490605</c:v>
                </c:pt>
                <c:pt idx="7">
                  <c:v>27.4</c:v>
                </c:pt>
                <c:pt idx="8">
                  <c:v>28</c:v>
                </c:pt>
                <c:pt idx="9">
                  <c:v>29</c:v>
                </c:pt>
              </c:numCache>
            </c:numRef>
          </c:val>
          <c:smooth val="0"/>
          <c:extLst>
            <c:ext xmlns:c16="http://schemas.microsoft.com/office/drawing/2014/chart" uri="{C3380CC4-5D6E-409C-BE32-E72D297353CC}">
              <c16:uniqueId val="{00000000-8A02-4F74-91CD-EFE3A8CF2CA8}"/>
            </c:ext>
          </c:extLst>
        </c:ser>
        <c:ser>
          <c:idx val="3"/>
          <c:order val="1"/>
          <c:tx>
            <c:strRef>
              <c:f>'9. Domaines'!$B$6</c:f>
              <c:strCache>
                <c:ptCount val="1"/>
                <c:pt idx="0">
                  <c:v>Education pour tous</c:v>
                </c:pt>
              </c:strCache>
            </c:strRef>
          </c:tx>
          <c:spPr>
            <a:ln w="38100">
              <a:solidFill>
                <a:srgbClr val="ED8B00"/>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Domaines'!$C$6:$L$6</c:f>
              <c:numCache>
                <c:formatCode>0</c:formatCode>
                <c:ptCount val="10"/>
                <c:pt idx="0">
                  <c:v>18.009320905459386</c:v>
                </c:pt>
                <c:pt idx="1">
                  <c:v>18.100425277922852</c:v>
                </c:pt>
                <c:pt idx="2">
                  <c:v>19.938398357289529</c:v>
                </c:pt>
                <c:pt idx="3">
                  <c:v>18.770680838263313</c:v>
                </c:pt>
                <c:pt idx="4">
                  <c:v>19.822120866590652</c:v>
                </c:pt>
                <c:pt idx="5">
                  <c:v>22.359224063457159</c:v>
                </c:pt>
                <c:pt idx="6">
                  <c:v>25.472955815134586</c:v>
                </c:pt>
                <c:pt idx="7">
                  <c:v>26.43</c:v>
                </c:pt>
                <c:pt idx="8">
                  <c:v>31</c:v>
                </c:pt>
                <c:pt idx="9">
                  <c:v>32</c:v>
                </c:pt>
              </c:numCache>
            </c:numRef>
          </c:val>
          <c:smooth val="0"/>
          <c:extLst>
            <c:ext xmlns:c16="http://schemas.microsoft.com/office/drawing/2014/chart" uri="{C3380CC4-5D6E-409C-BE32-E72D297353CC}">
              <c16:uniqueId val="{00000001-8A02-4F74-91CD-EFE3A8CF2CA8}"/>
            </c:ext>
          </c:extLst>
        </c:ser>
        <c:ser>
          <c:idx val="4"/>
          <c:order val="2"/>
          <c:tx>
            <c:strRef>
              <c:f>'9. Domaines'!$B$7</c:f>
              <c:strCache>
                <c:ptCount val="1"/>
                <c:pt idx="0">
                  <c:v>Culture</c:v>
                </c:pt>
              </c:strCache>
            </c:strRef>
          </c:tx>
          <c:spPr>
            <a:ln w="38100">
              <a:solidFill>
                <a:srgbClr val="B0AA9E"/>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Domaines'!$C$7:$L$7</c:f>
              <c:numCache>
                <c:formatCode>0</c:formatCode>
                <c:ptCount val="10"/>
                <c:pt idx="0">
                  <c:v>12.333555259653794</c:v>
                </c:pt>
                <c:pt idx="1">
                  <c:v>16.235171230321573</c:v>
                </c:pt>
                <c:pt idx="2">
                  <c:v>16.868583162217661</c:v>
                </c:pt>
                <c:pt idx="3">
                  <c:v>17.878271332598015</c:v>
                </c:pt>
                <c:pt idx="4">
                  <c:v>17.559863169897376</c:v>
                </c:pt>
                <c:pt idx="5">
                  <c:v>15.442812639074322</c:v>
                </c:pt>
                <c:pt idx="6">
                  <c:v>14.596559167089893</c:v>
                </c:pt>
                <c:pt idx="7">
                  <c:v>12.85</c:v>
                </c:pt>
                <c:pt idx="8">
                  <c:v>12</c:v>
                </c:pt>
                <c:pt idx="9">
                  <c:v>12</c:v>
                </c:pt>
              </c:numCache>
            </c:numRef>
          </c:val>
          <c:smooth val="0"/>
          <c:extLst>
            <c:ext xmlns:c16="http://schemas.microsoft.com/office/drawing/2014/chart" uri="{C3380CC4-5D6E-409C-BE32-E72D297353CC}">
              <c16:uniqueId val="{00000002-8A02-4F74-91CD-EFE3A8CF2CA8}"/>
            </c:ext>
          </c:extLst>
        </c:ser>
        <c:ser>
          <c:idx val="5"/>
          <c:order val="3"/>
          <c:tx>
            <c:strRef>
              <c:f>'9. Domaines'!$B$8</c:f>
              <c:strCache>
                <c:ptCount val="1"/>
                <c:pt idx="0">
                  <c:v>Sport</c:v>
                </c:pt>
              </c:strCache>
            </c:strRef>
          </c:tx>
          <c:spPr>
            <a:ln w="38100">
              <a:solidFill>
                <a:srgbClr val="F9B000"/>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Domaines'!$C$8:$L$8</c:f>
              <c:numCache>
                <c:formatCode>0</c:formatCode>
                <c:ptCount val="10"/>
                <c:pt idx="0">
                  <c:v>6.8741677762982691</c:v>
                </c:pt>
                <c:pt idx="1">
                  <c:v>9.8112362903827499</c:v>
                </c:pt>
                <c:pt idx="2">
                  <c:v>11.904517453798768</c:v>
                </c:pt>
                <c:pt idx="3">
                  <c:v>12.779504662588989</c:v>
                </c:pt>
                <c:pt idx="4">
                  <c:v>13.527936145952109</c:v>
                </c:pt>
                <c:pt idx="5">
                  <c:v>12.919186366135238</c:v>
                </c:pt>
                <c:pt idx="6">
                  <c:v>12.734890807516509</c:v>
                </c:pt>
                <c:pt idx="7">
                  <c:v>14.11</c:v>
                </c:pt>
                <c:pt idx="8">
                  <c:v>15</c:v>
                </c:pt>
                <c:pt idx="9">
                  <c:v>14</c:v>
                </c:pt>
              </c:numCache>
            </c:numRef>
          </c:val>
          <c:smooth val="0"/>
          <c:extLst>
            <c:ext xmlns:c16="http://schemas.microsoft.com/office/drawing/2014/chart" uri="{C3380CC4-5D6E-409C-BE32-E72D297353CC}">
              <c16:uniqueId val="{00000003-8A02-4F74-91CD-EFE3A8CF2CA8}"/>
            </c:ext>
          </c:extLst>
        </c:ser>
        <c:ser>
          <c:idx val="6"/>
          <c:order val="4"/>
          <c:tx>
            <c:strRef>
              <c:f>'9. Domaines'!$B$9</c:f>
              <c:strCache>
                <c:ptCount val="1"/>
                <c:pt idx="0">
                  <c:v>Environnement</c:v>
                </c:pt>
              </c:strCache>
            </c:strRef>
          </c:tx>
          <c:spPr>
            <a:ln w="38100">
              <a:solidFill>
                <a:srgbClr val="B8DEDB"/>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Domaines'!$C$9:$L$9</c:f>
              <c:numCache>
                <c:formatCode>0</c:formatCode>
                <c:ptCount val="10"/>
                <c:pt idx="0">
                  <c:v>15.14647137150466</c:v>
                </c:pt>
                <c:pt idx="1">
                  <c:v>12.29575468178766</c:v>
                </c:pt>
                <c:pt idx="2">
                  <c:v>10.703285420944558</c:v>
                </c:pt>
                <c:pt idx="3">
                  <c:v>10.05715431665497</c:v>
                </c:pt>
                <c:pt idx="4">
                  <c:v>9.5233751425313571</c:v>
                </c:pt>
                <c:pt idx="5">
                  <c:v>8.4845153014476811</c:v>
                </c:pt>
                <c:pt idx="6">
                  <c:v>7.2308278313864909</c:v>
                </c:pt>
                <c:pt idx="7">
                  <c:v>6.76</c:v>
                </c:pt>
                <c:pt idx="8">
                  <c:v>6</c:v>
                </c:pt>
                <c:pt idx="9">
                  <c:v>6</c:v>
                </c:pt>
              </c:numCache>
            </c:numRef>
          </c:val>
          <c:smooth val="0"/>
          <c:extLst>
            <c:ext xmlns:c16="http://schemas.microsoft.com/office/drawing/2014/chart" uri="{C3380CC4-5D6E-409C-BE32-E72D297353CC}">
              <c16:uniqueId val="{00000004-8A02-4F74-91CD-EFE3A8CF2CA8}"/>
            </c:ext>
          </c:extLst>
        </c:ser>
        <c:ser>
          <c:idx val="1"/>
          <c:order val="5"/>
          <c:tx>
            <c:strRef>
              <c:f>'9. Domaines'!$B$10</c:f>
              <c:strCache>
                <c:ptCount val="1"/>
                <c:pt idx="0">
                  <c:v>Mémoire</c:v>
                </c:pt>
              </c:strCache>
            </c:strRef>
          </c:tx>
          <c:spPr>
            <a:ln w="38100">
              <a:solidFill>
                <a:srgbClr val="DFDBD7"/>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Domaines'!$C$10:$L$10</c:f>
              <c:numCache>
                <c:formatCode>0</c:formatCode>
                <c:ptCount val="10"/>
                <c:pt idx="0">
                  <c:v>8.3555259653794938</c:v>
                </c:pt>
                <c:pt idx="1">
                  <c:v>7.4610161904051324</c:v>
                </c:pt>
                <c:pt idx="2">
                  <c:v>7.1047227926078023</c:v>
                </c:pt>
                <c:pt idx="3">
                  <c:v>7.8411711621377727</c:v>
                </c:pt>
                <c:pt idx="4">
                  <c:v>7.4116305587229192</c:v>
                </c:pt>
                <c:pt idx="5">
                  <c:v>5.7095735490457864</c:v>
                </c:pt>
                <c:pt idx="6">
                  <c:v>6.49917470797359</c:v>
                </c:pt>
                <c:pt idx="7">
                  <c:v>7.07</c:v>
                </c:pt>
                <c:pt idx="8">
                  <c:v>4</c:v>
                </c:pt>
                <c:pt idx="9">
                  <c:v>3</c:v>
                </c:pt>
              </c:numCache>
            </c:numRef>
          </c:val>
          <c:smooth val="0"/>
          <c:extLst>
            <c:ext xmlns:c16="http://schemas.microsoft.com/office/drawing/2014/chart" uri="{C3380CC4-5D6E-409C-BE32-E72D297353CC}">
              <c16:uniqueId val="{00000005-8A02-4F74-91CD-EFE3A8CF2CA8}"/>
            </c:ext>
          </c:extLst>
        </c:ser>
        <c:ser>
          <c:idx val="2"/>
          <c:order val="6"/>
          <c:tx>
            <c:strRef>
              <c:f>'9. Domaines'!$B$5</c:f>
              <c:strCache>
                <c:ptCount val="1"/>
                <c:pt idx="0">
                  <c:v>Santé</c:v>
                </c:pt>
              </c:strCache>
            </c:strRef>
          </c:tx>
          <c:spPr>
            <a:ln w="38100">
              <a:solidFill>
                <a:srgbClr val="FAD2A3"/>
              </a:solidFill>
              <a:prstDash val="solid"/>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Domaines'!$C$5:$L$5</c:f>
              <c:numCache>
                <c:formatCode>0</c:formatCode>
                <c:ptCount val="10"/>
                <c:pt idx="0">
                  <c:v>8.7716378162450059</c:v>
                </c:pt>
                <c:pt idx="1">
                  <c:v>3.4768335447287919</c:v>
                </c:pt>
                <c:pt idx="2">
                  <c:v>3.2751540041067764</c:v>
                </c:pt>
                <c:pt idx="3">
                  <c:v>3.4844079013336007</c:v>
                </c:pt>
                <c:pt idx="4">
                  <c:v>3.6442417331812997</c:v>
                </c:pt>
                <c:pt idx="5">
                  <c:v>3.6205136260111521</c:v>
                </c:pt>
                <c:pt idx="6">
                  <c:v>3.6027171152869477</c:v>
                </c:pt>
                <c:pt idx="7">
                  <c:v>3.63</c:v>
                </c:pt>
                <c:pt idx="8">
                  <c:v>3</c:v>
                </c:pt>
                <c:pt idx="9">
                  <c:v>3</c:v>
                </c:pt>
              </c:numCache>
            </c:numRef>
          </c:val>
          <c:smooth val="0"/>
          <c:extLst>
            <c:ext xmlns:c16="http://schemas.microsoft.com/office/drawing/2014/chart" uri="{C3380CC4-5D6E-409C-BE32-E72D297353CC}">
              <c16:uniqueId val="{00000006-8A02-4F74-91CD-EFE3A8CF2CA8}"/>
            </c:ext>
          </c:extLst>
        </c:ser>
        <c:ser>
          <c:idx val="7"/>
          <c:order val="7"/>
          <c:tx>
            <c:strRef>
              <c:f>'9. Domaines'!$B$11</c:f>
              <c:strCache>
                <c:ptCount val="1"/>
                <c:pt idx="0">
                  <c:v>Développement international</c:v>
                </c:pt>
              </c:strCache>
            </c:strRef>
          </c:tx>
          <c:spPr>
            <a:ln w="38100">
              <a:solidFill>
                <a:srgbClr val="00AAA1"/>
              </a:solidFill>
              <a:prstDash val="sysDash"/>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Domaines'!$C$11:$L$11</c:f>
              <c:numCache>
                <c:formatCode>0</c:formatCode>
                <c:ptCount val="10"/>
                <c:pt idx="0">
                  <c:v>2.1138482023968042</c:v>
                </c:pt>
                <c:pt idx="1">
                  <c:v>2.4248302618816679</c:v>
                </c:pt>
                <c:pt idx="2">
                  <c:v>2.279260780287474</c:v>
                </c:pt>
                <c:pt idx="3">
                  <c:v>2.2711320565526925</c:v>
                </c:pt>
                <c:pt idx="4">
                  <c:v>2.2668187001140252</c:v>
                </c:pt>
                <c:pt idx="5">
                  <c:v>1.5654860074871071</c:v>
                </c:pt>
                <c:pt idx="6">
                  <c:v>1.2538090401218893</c:v>
                </c:pt>
                <c:pt idx="7">
                  <c:v>0.89</c:v>
                </c:pt>
                <c:pt idx="8">
                  <c:v>1</c:v>
                </c:pt>
                <c:pt idx="9">
                  <c:v>1</c:v>
                </c:pt>
              </c:numCache>
            </c:numRef>
          </c:val>
          <c:smooth val="0"/>
          <c:extLst>
            <c:ext xmlns:c16="http://schemas.microsoft.com/office/drawing/2014/chart" uri="{C3380CC4-5D6E-409C-BE32-E72D297353CC}">
              <c16:uniqueId val="{00000007-8A02-4F74-91CD-EFE3A8CF2CA8}"/>
            </c:ext>
          </c:extLst>
        </c:ser>
        <c:ser>
          <c:idx val="8"/>
          <c:order val="8"/>
          <c:tx>
            <c:strRef>
              <c:f>'9. Domaines'!$B$12</c:f>
              <c:strCache>
                <c:ptCount val="1"/>
                <c:pt idx="0">
                  <c:v>Intervention d'urgence</c:v>
                </c:pt>
              </c:strCache>
            </c:strRef>
          </c:tx>
          <c:spPr>
            <a:ln w="38100">
              <a:solidFill>
                <a:srgbClr val="ED8B00"/>
              </a:solidFill>
              <a:prstDash val="sysDash"/>
            </a:ln>
            <a:effectLst/>
          </c:spPr>
          <c:marker>
            <c:symbol val="none"/>
          </c:marker>
          <c:cat>
            <c:numRef>
              <c:f>'9. Domaines'!$C$3:$L$3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 Domaines'!$C$12:$L$12</c:f>
              <c:numCache>
                <c:formatCode>0</c:formatCode>
                <c:ptCount val="10"/>
                <c:pt idx="0">
                  <c:v>1.2816245006657789</c:v>
                </c:pt>
                <c:pt idx="1">
                  <c:v>2.4845183914049094</c:v>
                </c:pt>
                <c:pt idx="2">
                  <c:v>1.5451745379876796</c:v>
                </c:pt>
                <c:pt idx="3">
                  <c:v>1.118018650355961</c:v>
                </c:pt>
                <c:pt idx="4">
                  <c:v>0.76168757126567843</c:v>
                </c:pt>
                <c:pt idx="5">
                  <c:v>0.82462891698735563</c:v>
                </c:pt>
                <c:pt idx="6">
                  <c:v>0.90623412899949218</c:v>
                </c:pt>
                <c:pt idx="7">
                  <c:v>0.86</c:v>
                </c:pt>
                <c:pt idx="8">
                  <c:v>1</c:v>
                </c:pt>
                <c:pt idx="9">
                  <c:v>1</c:v>
                </c:pt>
              </c:numCache>
            </c:numRef>
          </c:val>
          <c:smooth val="0"/>
          <c:extLst>
            <c:ext xmlns:c16="http://schemas.microsoft.com/office/drawing/2014/chart" uri="{C3380CC4-5D6E-409C-BE32-E72D297353CC}">
              <c16:uniqueId val="{00000008-8A02-4F74-91CD-EFE3A8CF2CA8}"/>
            </c:ext>
          </c:extLst>
        </c:ser>
        <c:dLbls>
          <c:showLegendKey val="0"/>
          <c:showVal val="0"/>
          <c:showCatName val="0"/>
          <c:showSerName val="0"/>
          <c:showPercent val="0"/>
          <c:showBubbleSize val="0"/>
        </c:dLbls>
        <c:smooth val="0"/>
        <c:axId val="94212096"/>
        <c:axId val="94213632"/>
      </c:lineChart>
      <c:catAx>
        <c:axId val="94212096"/>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4213632"/>
        <c:crosses val="autoZero"/>
        <c:auto val="0"/>
        <c:lblAlgn val="ctr"/>
        <c:lblOffset val="0"/>
        <c:tickLblSkip val="1"/>
        <c:tickMarkSkip val="1"/>
        <c:noMultiLvlLbl val="0"/>
      </c:catAx>
      <c:valAx>
        <c:axId val="94213632"/>
        <c:scaling>
          <c:orientation val="minMax"/>
          <c:max val="35"/>
        </c:scaling>
        <c:delete val="0"/>
        <c:axPos val="l"/>
        <c:majorGridlines>
          <c:spPr>
            <a:ln w="12700">
              <a:solidFill>
                <a:srgbClr val="C0C0C0"/>
              </a:solidFill>
              <a:prstDash val="solid"/>
            </a:ln>
          </c:spPr>
        </c:majorGridlines>
        <c:title>
          <c:tx>
            <c:rich>
              <a:bodyPr rot="-5400000" vert="horz"/>
              <a:lstStyle/>
              <a:p>
                <a:pPr algn="ctr">
                  <a:defRPr sz="1000" b="0" i="0" u="none">
                    <a:solidFill>
                      <a:srgbClr val="000000"/>
                    </a:solidFill>
                    <a:latin typeface="Raleway"/>
                    <a:ea typeface="Raleway"/>
                    <a:cs typeface="Raleway"/>
                  </a:defRPr>
                </a:pPr>
                <a:r>
                  <a:rPr lang="en-US"/>
                  <a:t>%</a:t>
                </a:r>
              </a:p>
            </c:rich>
          </c:tx>
          <c:layout>
            <c:manualLayout>
              <c:xMode val="edge"/>
              <c:yMode val="edge"/>
              <c:x val="8.3521267158678369E-3"/>
              <c:y val="0.47911419753086421"/>
            </c:manualLayout>
          </c:layout>
          <c:overlay val="0"/>
          <c:spPr>
            <a:ln w="12700">
              <a:solidFill>
                <a:srgbClr val="000000"/>
              </a:solidFill>
              <a:prstDash val="solid"/>
            </a:ln>
          </c:spPr>
        </c:title>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4212096"/>
        <c:crossesAt val="1"/>
        <c:crossBetween val="midCat"/>
      </c:valAx>
      <c:spPr>
        <a:noFill/>
        <a:ln w="12700">
          <a:solidFill>
            <a:srgbClr val="000000"/>
          </a:solidFill>
          <a:prstDash val="solid"/>
        </a:ln>
      </c:spPr>
    </c:plotArea>
    <c:legend>
      <c:legendPos val="r"/>
      <c:layout>
        <c:manualLayout>
          <c:xMode val="edge"/>
          <c:yMode val="edge"/>
          <c:x val="0.68498724244835252"/>
          <c:y val="6.5641666666666681E-2"/>
          <c:w val="0.3009017165537235"/>
          <c:h val="0.88082839506172839"/>
        </c:manualLayout>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83375379048489E-2"/>
          <c:y val="4.3117283950617286E-2"/>
          <c:w val="0.64530723950768287"/>
          <c:h val="0.88922129629629632"/>
        </c:manualLayout>
      </c:layout>
      <c:barChart>
        <c:barDir val="col"/>
        <c:grouping val="stacked"/>
        <c:varyColors val="0"/>
        <c:ser>
          <c:idx val="1"/>
          <c:order val="1"/>
          <c:tx>
            <c:strRef>
              <c:f>'10. Durée missions'!$B$28</c:f>
              <c:strCache>
                <c:ptCount val="1"/>
                <c:pt idx="0">
                  <c:v>Commun accord entre les parties</c:v>
                </c:pt>
              </c:strCache>
            </c:strRef>
          </c:tx>
          <c:spPr>
            <a:solidFill>
              <a:srgbClr val="00AAA1"/>
            </a:solidFill>
            <a:ln w="12700">
              <a:solidFill>
                <a:srgbClr val="000000"/>
              </a:solidFill>
              <a:prstDash val="solid"/>
            </a:ln>
            <a:effectLst/>
          </c:spPr>
          <c:invertIfNegative val="0"/>
          <c:cat>
            <c:numRef>
              <c:f>'10. Durée missions'!$C$25:$I$25</c:f>
              <c:numCache>
                <c:formatCode>General</c:formatCode>
                <c:ptCount val="7"/>
                <c:pt idx="0">
                  <c:v>2011</c:v>
                </c:pt>
                <c:pt idx="1">
                  <c:v>2012</c:v>
                </c:pt>
                <c:pt idx="2">
                  <c:v>2013</c:v>
                </c:pt>
                <c:pt idx="3">
                  <c:v>2014</c:v>
                </c:pt>
                <c:pt idx="4">
                  <c:v>2015</c:v>
                </c:pt>
                <c:pt idx="5">
                  <c:v>2016</c:v>
                </c:pt>
                <c:pt idx="6">
                  <c:v>2017</c:v>
                </c:pt>
              </c:numCache>
            </c:numRef>
          </c:cat>
          <c:val>
            <c:numRef>
              <c:f>'10. Durée missions'!$C$28:$K$28</c:f>
              <c:numCache>
                <c:formatCode>0.0</c:formatCode>
                <c:ptCount val="9"/>
                <c:pt idx="0">
                  <c:v>17.39</c:v>
                </c:pt>
                <c:pt idx="1">
                  <c:v>11.55</c:v>
                </c:pt>
                <c:pt idx="2">
                  <c:v>8.24</c:v>
                </c:pt>
                <c:pt idx="3">
                  <c:v>7.13</c:v>
                </c:pt>
                <c:pt idx="4">
                  <c:v>8.36</c:v>
                </c:pt>
                <c:pt idx="5">
                  <c:v>8.2799999999999994</c:v>
                </c:pt>
                <c:pt idx="6">
                  <c:v>8.2100000000000009</c:v>
                </c:pt>
                <c:pt idx="7">
                  <c:v>6.2</c:v>
                </c:pt>
                <c:pt idx="8">
                  <c:v>6.7</c:v>
                </c:pt>
              </c:numCache>
            </c:numRef>
          </c:val>
          <c:extLst>
            <c:ext xmlns:c16="http://schemas.microsoft.com/office/drawing/2014/chart" uri="{C3380CC4-5D6E-409C-BE32-E72D297353CC}">
              <c16:uniqueId val="{00000000-BC4D-4CDC-A1E5-3AB4B3FDB53D}"/>
            </c:ext>
          </c:extLst>
        </c:ser>
        <c:ser>
          <c:idx val="2"/>
          <c:order val="2"/>
          <c:tx>
            <c:strRef>
              <c:f>'10. Durée missions'!$B$29</c:f>
              <c:strCache>
                <c:ptCount val="1"/>
                <c:pt idx="0">
                  <c:v>Embauche en CDD  ou CDI</c:v>
                </c:pt>
              </c:strCache>
            </c:strRef>
          </c:tx>
          <c:spPr>
            <a:solidFill>
              <a:srgbClr val="ED8B00"/>
            </a:solidFill>
            <a:ln w="12700">
              <a:solidFill>
                <a:srgbClr val="000000"/>
              </a:solidFill>
              <a:prstDash val="solid"/>
            </a:ln>
            <a:effectLst/>
          </c:spPr>
          <c:invertIfNegative val="0"/>
          <c:cat>
            <c:numRef>
              <c:f>'10. Durée missions'!$C$25:$I$25</c:f>
              <c:numCache>
                <c:formatCode>General</c:formatCode>
                <c:ptCount val="7"/>
                <c:pt idx="0">
                  <c:v>2011</c:v>
                </c:pt>
                <c:pt idx="1">
                  <c:v>2012</c:v>
                </c:pt>
                <c:pt idx="2">
                  <c:v>2013</c:v>
                </c:pt>
                <c:pt idx="3">
                  <c:v>2014</c:v>
                </c:pt>
                <c:pt idx="4">
                  <c:v>2015</c:v>
                </c:pt>
                <c:pt idx="5">
                  <c:v>2016</c:v>
                </c:pt>
                <c:pt idx="6">
                  <c:v>2017</c:v>
                </c:pt>
              </c:numCache>
            </c:numRef>
          </c:cat>
          <c:val>
            <c:numRef>
              <c:f>'10. Durée missions'!$C$29:$K$29</c:f>
              <c:numCache>
                <c:formatCode>0.0</c:formatCode>
                <c:ptCount val="9"/>
                <c:pt idx="0">
                  <c:v>8.34</c:v>
                </c:pt>
                <c:pt idx="1">
                  <c:v>7.92</c:v>
                </c:pt>
                <c:pt idx="2">
                  <c:v>8.2100000000000009</c:v>
                </c:pt>
                <c:pt idx="3">
                  <c:v>6.9700000000000006</c:v>
                </c:pt>
                <c:pt idx="4">
                  <c:v>6.85</c:v>
                </c:pt>
                <c:pt idx="5">
                  <c:v>8.09</c:v>
                </c:pt>
                <c:pt idx="6">
                  <c:v>7.58</c:v>
                </c:pt>
                <c:pt idx="7">
                  <c:v>6</c:v>
                </c:pt>
                <c:pt idx="8">
                  <c:v>6.4</c:v>
                </c:pt>
              </c:numCache>
            </c:numRef>
          </c:val>
          <c:extLst>
            <c:ext xmlns:c16="http://schemas.microsoft.com/office/drawing/2014/chart" uri="{C3380CC4-5D6E-409C-BE32-E72D297353CC}">
              <c16:uniqueId val="{00000001-BC4D-4CDC-A1E5-3AB4B3FDB53D}"/>
            </c:ext>
          </c:extLst>
        </c:ser>
        <c:ser>
          <c:idx val="3"/>
          <c:order val="3"/>
          <c:tx>
            <c:strRef>
              <c:f>'10. Durée missions'!$B$30</c:f>
              <c:strCache>
                <c:ptCount val="1"/>
                <c:pt idx="0">
                  <c:v>Abandon de poste</c:v>
                </c:pt>
              </c:strCache>
            </c:strRef>
          </c:tx>
          <c:spPr>
            <a:solidFill>
              <a:srgbClr val="B0AA9E"/>
            </a:solidFill>
            <a:ln w="12700">
              <a:solidFill>
                <a:srgbClr val="000000"/>
              </a:solidFill>
              <a:prstDash val="solid"/>
            </a:ln>
            <a:effectLst/>
          </c:spPr>
          <c:invertIfNegative val="0"/>
          <c:cat>
            <c:numRef>
              <c:f>'10. Durée missions'!$C$25:$I$25</c:f>
              <c:numCache>
                <c:formatCode>General</c:formatCode>
                <c:ptCount val="7"/>
                <c:pt idx="0">
                  <c:v>2011</c:v>
                </c:pt>
                <c:pt idx="1">
                  <c:v>2012</c:v>
                </c:pt>
                <c:pt idx="2">
                  <c:v>2013</c:v>
                </c:pt>
                <c:pt idx="3">
                  <c:v>2014</c:v>
                </c:pt>
                <c:pt idx="4">
                  <c:v>2015</c:v>
                </c:pt>
                <c:pt idx="5">
                  <c:v>2016</c:v>
                </c:pt>
                <c:pt idx="6">
                  <c:v>2017</c:v>
                </c:pt>
              </c:numCache>
            </c:numRef>
          </c:cat>
          <c:val>
            <c:numRef>
              <c:f>'10. Durée missions'!$C$30:$K$30</c:f>
              <c:numCache>
                <c:formatCode>0.0</c:formatCode>
                <c:ptCount val="9"/>
                <c:pt idx="0">
                  <c:v>4.04</c:v>
                </c:pt>
                <c:pt idx="1">
                  <c:v>4.01</c:v>
                </c:pt>
                <c:pt idx="2">
                  <c:v>3.9</c:v>
                </c:pt>
                <c:pt idx="3">
                  <c:v>3.47</c:v>
                </c:pt>
                <c:pt idx="4">
                  <c:v>4.07</c:v>
                </c:pt>
                <c:pt idx="5">
                  <c:v>4.51</c:v>
                </c:pt>
                <c:pt idx="6">
                  <c:v>4.74</c:v>
                </c:pt>
                <c:pt idx="7">
                  <c:v>3.9</c:v>
                </c:pt>
                <c:pt idx="8">
                  <c:v>4.3</c:v>
                </c:pt>
              </c:numCache>
            </c:numRef>
          </c:val>
          <c:extLst>
            <c:ext xmlns:c16="http://schemas.microsoft.com/office/drawing/2014/chart" uri="{C3380CC4-5D6E-409C-BE32-E72D297353CC}">
              <c16:uniqueId val="{00000002-BC4D-4CDC-A1E5-3AB4B3FDB53D}"/>
            </c:ext>
          </c:extLst>
        </c:ser>
        <c:ser>
          <c:idx val="4"/>
          <c:order val="4"/>
          <c:tx>
            <c:strRef>
              <c:f>'10. Durée missions'!$B$31</c:f>
              <c:strCache>
                <c:ptCount val="1"/>
                <c:pt idx="0">
                  <c:v>Force majeure</c:v>
                </c:pt>
              </c:strCache>
            </c:strRef>
          </c:tx>
          <c:spPr>
            <a:solidFill>
              <a:srgbClr val="F9B000"/>
            </a:solidFill>
            <a:ln w="12700">
              <a:solidFill>
                <a:srgbClr val="000000"/>
              </a:solidFill>
              <a:prstDash val="solid"/>
            </a:ln>
            <a:effectLst/>
          </c:spPr>
          <c:invertIfNegative val="0"/>
          <c:cat>
            <c:numRef>
              <c:f>'10. Durée missions'!$C$25:$I$25</c:f>
              <c:numCache>
                <c:formatCode>General</c:formatCode>
                <c:ptCount val="7"/>
                <c:pt idx="0">
                  <c:v>2011</c:v>
                </c:pt>
                <c:pt idx="1">
                  <c:v>2012</c:v>
                </c:pt>
                <c:pt idx="2">
                  <c:v>2013</c:v>
                </c:pt>
                <c:pt idx="3">
                  <c:v>2014</c:v>
                </c:pt>
                <c:pt idx="4">
                  <c:v>2015</c:v>
                </c:pt>
                <c:pt idx="5">
                  <c:v>2016</c:v>
                </c:pt>
                <c:pt idx="6">
                  <c:v>2017</c:v>
                </c:pt>
              </c:numCache>
            </c:numRef>
          </c:cat>
          <c:val>
            <c:numRef>
              <c:f>'10. Durée missions'!$C$31:$K$31</c:f>
              <c:numCache>
                <c:formatCode>0.0</c:formatCode>
                <c:ptCount val="9"/>
                <c:pt idx="0">
                  <c:v>0.96</c:v>
                </c:pt>
                <c:pt idx="1">
                  <c:v>1.17</c:v>
                </c:pt>
                <c:pt idx="2">
                  <c:v>1.1399999999999999</c:v>
                </c:pt>
                <c:pt idx="3">
                  <c:v>1.08</c:v>
                </c:pt>
                <c:pt idx="4">
                  <c:v>1</c:v>
                </c:pt>
                <c:pt idx="5">
                  <c:v>1.29</c:v>
                </c:pt>
                <c:pt idx="6">
                  <c:v>1.29</c:v>
                </c:pt>
                <c:pt idx="7">
                  <c:v>1.3</c:v>
                </c:pt>
                <c:pt idx="8">
                  <c:v>1.3</c:v>
                </c:pt>
              </c:numCache>
            </c:numRef>
          </c:val>
          <c:extLst>
            <c:ext xmlns:c16="http://schemas.microsoft.com/office/drawing/2014/chart" uri="{C3380CC4-5D6E-409C-BE32-E72D297353CC}">
              <c16:uniqueId val="{00000003-BC4D-4CDC-A1E5-3AB4B3FDB53D}"/>
            </c:ext>
          </c:extLst>
        </c:ser>
        <c:ser>
          <c:idx val="5"/>
          <c:order val="5"/>
          <c:tx>
            <c:strRef>
              <c:f>'10. Durée missions'!$B$32</c:f>
              <c:strCache>
                <c:ptCount val="1"/>
                <c:pt idx="0">
                  <c:v>Faute grave d'une des parties</c:v>
                </c:pt>
              </c:strCache>
            </c:strRef>
          </c:tx>
          <c:spPr>
            <a:solidFill>
              <a:srgbClr val="B8DEDB"/>
            </a:solidFill>
            <a:ln w="12700">
              <a:solidFill>
                <a:srgbClr val="000000"/>
              </a:solidFill>
              <a:prstDash val="solid"/>
            </a:ln>
            <a:effectLst/>
          </c:spPr>
          <c:invertIfNegative val="0"/>
          <c:cat>
            <c:numRef>
              <c:f>'10. Durée missions'!$C$25:$I$25</c:f>
              <c:numCache>
                <c:formatCode>General</c:formatCode>
                <c:ptCount val="7"/>
                <c:pt idx="0">
                  <c:v>2011</c:v>
                </c:pt>
                <c:pt idx="1">
                  <c:v>2012</c:v>
                </c:pt>
                <c:pt idx="2">
                  <c:v>2013</c:v>
                </c:pt>
                <c:pt idx="3">
                  <c:v>2014</c:v>
                </c:pt>
                <c:pt idx="4">
                  <c:v>2015</c:v>
                </c:pt>
                <c:pt idx="5">
                  <c:v>2016</c:v>
                </c:pt>
                <c:pt idx="6">
                  <c:v>2017</c:v>
                </c:pt>
              </c:numCache>
            </c:numRef>
          </c:cat>
          <c:val>
            <c:numRef>
              <c:f>'10. Durée missions'!$C$32:$K$32</c:f>
              <c:numCache>
                <c:formatCode>0.0</c:formatCode>
                <c:ptCount val="9"/>
                <c:pt idx="0">
                  <c:v>2.34</c:v>
                </c:pt>
                <c:pt idx="1">
                  <c:v>1.58</c:v>
                </c:pt>
                <c:pt idx="2">
                  <c:v>1.02</c:v>
                </c:pt>
                <c:pt idx="3">
                  <c:v>0.84</c:v>
                </c:pt>
                <c:pt idx="4">
                  <c:v>0.93</c:v>
                </c:pt>
                <c:pt idx="5">
                  <c:v>1.01</c:v>
                </c:pt>
                <c:pt idx="6">
                  <c:v>0.99</c:v>
                </c:pt>
                <c:pt idx="7">
                  <c:v>0.8</c:v>
                </c:pt>
                <c:pt idx="8">
                  <c:v>0.8</c:v>
                </c:pt>
              </c:numCache>
            </c:numRef>
          </c:val>
          <c:extLst>
            <c:ext xmlns:c16="http://schemas.microsoft.com/office/drawing/2014/chart" uri="{C3380CC4-5D6E-409C-BE32-E72D297353CC}">
              <c16:uniqueId val="{00000004-BC4D-4CDC-A1E5-3AB4B3FDB53D}"/>
            </c:ext>
          </c:extLst>
        </c:ser>
        <c:ser>
          <c:idx val="6"/>
          <c:order val="6"/>
          <c:tx>
            <c:strRef>
              <c:f>'10. Durée missions'!$B$33</c:f>
              <c:strCache>
                <c:ptCount val="1"/>
                <c:pt idx="0">
                  <c:v>Autres motifs (*)</c:v>
                </c:pt>
              </c:strCache>
            </c:strRef>
          </c:tx>
          <c:spPr>
            <a:solidFill>
              <a:srgbClr val="DFDBD7"/>
            </a:solidFill>
            <a:ln w="12700">
              <a:solidFill>
                <a:srgbClr val="000000"/>
              </a:solidFill>
              <a:prstDash val="solid"/>
            </a:ln>
            <a:effectLst/>
          </c:spPr>
          <c:invertIfNegative val="0"/>
          <c:cat>
            <c:numRef>
              <c:f>'10. Durée missions'!$C$25:$I$25</c:f>
              <c:numCache>
                <c:formatCode>General</c:formatCode>
                <c:ptCount val="7"/>
                <c:pt idx="0">
                  <c:v>2011</c:v>
                </c:pt>
                <c:pt idx="1">
                  <c:v>2012</c:v>
                </c:pt>
                <c:pt idx="2">
                  <c:v>2013</c:v>
                </c:pt>
                <c:pt idx="3">
                  <c:v>2014</c:v>
                </c:pt>
                <c:pt idx="4">
                  <c:v>2015</c:v>
                </c:pt>
                <c:pt idx="5">
                  <c:v>2016</c:v>
                </c:pt>
                <c:pt idx="6">
                  <c:v>2017</c:v>
                </c:pt>
              </c:numCache>
            </c:numRef>
          </c:cat>
          <c:val>
            <c:numRef>
              <c:f>'10. Durée missions'!$C$33:$K$33</c:f>
              <c:numCache>
                <c:formatCode>0.0</c:formatCode>
                <c:ptCount val="9"/>
                <c:pt idx="0">
                  <c:v>0.02</c:v>
                </c:pt>
                <c:pt idx="1">
                  <c:v>0.15</c:v>
                </c:pt>
                <c:pt idx="2">
                  <c:v>0.16</c:v>
                </c:pt>
                <c:pt idx="3">
                  <c:v>0.15</c:v>
                </c:pt>
                <c:pt idx="4">
                  <c:v>0.19</c:v>
                </c:pt>
                <c:pt idx="5">
                  <c:v>0.21</c:v>
                </c:pt>
                <c:pt idx="6">
                  <c:v>0.89999999999999991</c:v>
                </c:pt>
                <c:pt idx="7">
                  <c:v>2.5</c:v>
                </c:pt>
                <c:pt idx="8">
                  <c:v>2.9</c:v>
                </c:pt>
              </c:numCache>
            </c:numRef>
          </c:val>
          <c:extLst>
            <c:ext xmlns:c16="http://schemas.microsoft.com/office/drawing/2014/chart" uri="{C3380CC4-5D6E-409C-BE32-E72D297353CC}">
              <c16:uniqueId val="{00000005-BC4D-4CDC-A1E5-3AB4B3FDB53D}"/>
            </c:ext>
          </c:extLst>
        </c:ser>
        <c:dLbls>
          <c:showLegendKey val="0"/>
          <c:showVal val="0"/>
          <c:showCatName val="0"/>
          <c:showSerName val="0"/>
          <c:showPercent val="0"/>
          <c:showBubbleSize val="0"/>
        </c:dLbls>
        <c:gapWidth val="150"/>
        <c:overlap val="100"/>
        <c:axId val="94264704"/>
        <c:axId val="94270592"/>
      </c:barChart>
      <c:lineChart>
        <c:grouping val="standard"/>
        <c:varyColors val="0"/>
        <c:ser>
          <c:idx val="0"/>
          <c:order val="0"/>
          <c:tx>
            <c:strRef>
              <c:f>'10. Durée missions'!$B$26</c:f>
              <c:strCache>
                <c:ptCount val="1"/>
                <c:pt idx="0">
                  <c:v>Part totale des missions rompues</c:v>
                </c:pt>
              </c:strCache>
            </c:strRef>
          </c:tx>
          <c:spPr>
            <a:ln w="31750">
              <a:solidFill>
                <a:srgbClr val="00AAA1"/>
              </a:solidFill>
              <a:prstDash val="solid"/>
            </a:ln>
            <a:effectLst/>
          </c:spPr>
          <c:marker>
            <c:symbol val="square"/>
            <c:size val="5"/>
            <c:spPr>
              <a:noFill/>
              <a:ln w="9525">
                <a:noFill/>
              </a:ln>
            </c:spPr>
          </c:marker>
          <c:dLbls>
            <c:dLbl>
              <c:idx val="0"/>
              <c:layout>
                <c:manualLayout>
                  <c:x val="-3.8305925925925938E-2"/>
                  <c:y val="-3.3700000000000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4D-4CDC-A1E5-3AB4B3FDB53D}"/>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'10. Durée missions'!$C$25:$K$25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'10. Durée missions'!$C$26:$K$26</c:f>
              <c:numCache>
                <c:formatCode>0.0</c:formatCode>
                <c:ptCount val="9"/>
                <c:pt idx="0">
                  <c:v>33.090000000000003</c:v>
                </c:pt>
                <c:pt idx="1">
                  <c:v>26.379999999999995</c:v>
                </c:pt>
                <c:pt idx="2">
                  <c:v>22.67</c:v>
                </c:pt>
                <c:pt idx="3">
                  <c:v>19.639999999999997</c:v>
                </c:pt>
                <c:pt idx="4">
                  <c:v>21.400000000000002</c:v>
                </c:pt>
                <c:pt idx="5">
                  <c:v>23.389999999999997</c:v>
                </c:pt>
                <c:pt idx="6">
                  <c:v>23.709999999999997</c:v>
                </c:pt>
                <c:pt idx="7">
                  <c:v>20.7</c:v>
                </c:pt>
                <c:pt idx="8">
                  <c:v>22.4</c:v>
                </c:pt>
              </c:numCache>
            </c:numRef>
          </c:val>
          <c:smooth val="0"/>
          <c:extLst>
            <c:ext xmlns:c16="http://schemas.microsoft.com/office/drawing/2014/chart" uri="{C3380CC4-5D6E-409C-BE32-E72D297353CC}">
              <c16:uniqueId val="{00000007-BC4D-4CDC-A1E5-3AB4B3FDB53D}"/>
            </c:ext>
          </c:extLst>
        </c:ser>
        <c:dLbls>
          <c:showLegendKey val="0"/>
          <c:showVal val="0"/>
          <c:showCatName val="0"/>
          <c:showSerName val="0"/>
          <c:showPercent val="0"/>
          <c:showBubbleSize val="0"/>
        </c:dLbls>
        <c:marker val="1"/>
        <c:smooth val="0"/>
        <c:axId val="94264704"/>
        <c:axId val="94270592"/>
      </c:lineChart>
      <c:catAx>
        <c:axId val="942647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800"/>
            </a:pPr>
            <a:endParaRPr lang="fr-FR"/>
          </a:p>
        </c:txPr>
        <c:crossAx val="94270592"/>
        <c:crosses val="autoZero"/>
        <c:auto val="0"/>
        <c:lblAlgn val="ctr"/>
        <c:lblOffset val="0"/>
        <c:tickLblSkip val="1"/>
        <c:tickMarkSkip val="1"/>
        <c:noMultiLvlLbl val="0"/>
      </c:catAx>
      <c:valAx>
        <c:axId val="9427059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94264704"/>
        <c:crossesAt val="1"/>
        <c:crossBetween val="between"/>
      </c:valAx>
      <c:spPr>
        <a:noFill/>
        <a:ln w="12700">
          <a:solidFill>
            <a:srgbClr val="000000"/>
          </a:solidFill>
          <a:prstDash val="solid"/>
        </a:ln>
      </c:spPr>
    </c:plotArea>
    <c:legend>
      <c:legendPos val="r"/>
      <c:layout>
        <c:manualLayout>
          <c:xMode val="edge"/>
          <c:yMode val="edge"/>
          <c:x val="0.7210355987055016"/>
          <c:y val="0.14468734567901234"/>
          <c:w val="0.26343042071197409"/>
          <c:h val="0.71062530864197526"/>
        </c:manualLayout>
      </c:layout>
      <c:overlay val="0"/>
      <c:spPr>
        <a:noFill/>
        <a:ln w="25400">
          <a:noFill/>
        </a:ln>
        <a:effectLst/>
      </c:spPr>
    </c:legend>
    <c:plotVisOnly val="1"/>
    <c:dispBlanksAs val="gap"/>
    <c:showDLblsOverMax val="0"/>
  </c:chart>
  <c:spPr>
    <a:solidFill>
      <a:srgbClr val="FFE8C0"/>
    </a:solidFill>
    <a:ln w="25400">
      <a:noFill/>
    </a:ln>
  </c:spPr>
  <c:txPr>
    <a:bodyPr/>
    <a:lstStyle/>
    <a:p>
      <a:pPr>
        <a:defRPr sz="9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16</xdr:row>
      <xdr:rowOff>0</xdr:rowOff>
    </xdr:from>
    <xdr:to>
      <xdr:col>8</xdr:col>
      <xdr:colOff>770850</xdr:colOff>
      <xdr:row>36</xdr:row>
      <xdr:rowOff>20550</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19050</xdr:colOff>
      <xdr:row>26</xdr:row>
      <xdr:rowOff>19050</xdr:rowOff>
    </xdr:from>
    <xdr:to>
      <xdr:col>18</xdr:col>
      <xdr:colOff>352425</xdr:colOff>
      <xdr:row>41</xdr:row>
      <xdr:rowOff>211050</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xdr:colOff>
      <xdr:row>3</xdr:row>
      <xdr:rowOff>61912</xdr:rowOff>
    </xdr:from>
    <xdr:to>
      <xdr:col>17</xdr:col>
      <xdr:colOff>514350</xdr:colOff>
      <xdr:row>21</xdr:row>
      <xdr:rowOff>187237</xdr:rowOff>
    </xdr:to>
    <xdr:graphicFrame macro="">
      <xdr:nvGraphicFramePr>
        <xdr:cNvPr id="4" name="Graphique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13</xdr:row>
      <xdr:rowOff>0</xdr:rowOff>
    </xdr:from>
    <xdr:to>
      <xdr:col>8</xdr:col>
      <xdr:colOff>770850</xdr:colOff>
      <xdr:row>34</xdr:row>
      <xdr:rowOff>39600</xdr:rowOff>
    </xdr:to>
    <xdr:graphicFrame macro="">
      <xdr:nvGraphicFramePr>
        <xdr:cNvPr id="4" name="Graphique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761999</xdr:colOff>
      <xdr:row>5</xdr:row>
      <xdr:rowOff>0</xdr:rowOff>
    </xdr:from>
    <xdr:to>
      <xdr:col>18</xdr:col>
      <xdr:colOff>533400</xdr:colOff>
      <xdr:row>22</xdr:row>
      <xdr:rowOff>1500</xdr:rowOff>
    </xdr:to>
    <xdr:graphicFrame macro="">
      <xdr:nvGraphicFramePr>
        <xdr:cNvPr id="3" name="Graphique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123825</xdr:rowOff>
    </xdr:from>
    <xdr:to>
      <xdr:col>6</xdr:col>
      <xdr:colOff>456525</xdr:colOff>
      <xdr:row>41</xdr:row>
      <xdr:rowOff>96750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13</xdr:row>
      <xdr:rowOff>0</xdr:rowOff>
    </xdr:from>
    <xdr:to>
      <xdr:col>9</xdr:col>
      <xdr:colOff>66000</xdr:colOff>
      <xdr:row>30</xdr:row>
      <xdr:rowOff>11025</xdr:rowOff>
    </xdr:to>
    <xdr:graphicFrame macro="">
      <xdr:nvGraphicFramePr>
        <xdr:cNvPr id="11" name="Graphique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17</xdr:row>
      <xdr:rowOff>0</xdr:rowOff>
    </xdr:from>
    <xdr:to>
      <xdr:col>8</xdr:col>
      <xdr:colOff>770850</xdr:colOff>
      <xdr:row>38</xdr:row>
      <xdr:rowOff>39600</xdr:rowOff>
    </xdr:to>
    <xdr:graphicFrame macro="">
      <xdr:nvGraphicFramePr>
        <xdr:cNvPr id="7" name="Graphique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16</xdr:col>
      <xdr:colOff>770850</xdr:colOff>
      <xdr:row>38</xdr:row>
      <xdr:rowOff>39600</xdr:rowOff>
    </xdr:to>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8</xdr:col>
      <xdr:colOff>313650</xdr:colOff>
      <xdr:row>44</xdr:row>
      <xdr:rowOff>0</xdr:rowOff>
    </xdr:to>
    <xdr:graphicFrame macro="">
      <xdr:nvGraphicFramePr>
        <xdr:cNvPr id="5" name="Graphique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38101</xdr:colOff>
      <xdr:row>2</xdr:row>
      <xdr:rowOff>0</xdr:rowOff>
    </xdr:from>
    <xdr:to>
      <xdr:col>16</xdr:col>
      <xdr:colOff>742951</xdr:colOff>
      <xdr:row>33</xdr:row>
      <xdr:rowOff>30107</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1" y="419100"/>
          <a:ext cx="7562850" cy="6592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2</xdr:row>
      <xdr:rowOff>47625</xdr:rowOff>
    </xdr:from>
    <xdr:to>
      <xdr:col>17</xdr:col>
      <xdr:colOff>103810</xdr:colOff>
      <xdr:row>36</xdr:row>
      <xdr:rowOff>103880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0" y="466725"/>
          <a:ext cx="7723810" cy="71619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18</xdr:row>
      <xdr:rowOff>0</xdr:rowOff>
    </xdr:from>
    <xdr:to>
      <xdr:col>7</xdr:col>
      <xdr:colOff>647700</xdr:colOff>
      <xdr:row>39</xdr:row>
      <xdr:rowOff>39600</xdr:rowOff>
    </xdr:to>
    <xdr:graphicFrame macro="">
      <xdr:nvGraphicFramePr>
        <xdr:cNvPr id="4" name="Graphique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showGridLines="0" workbookViewId="0">
      <selection activeCell="B15" sqref="B15"/>
    </sheetView>
  </sheetViews>
  <sheetFormatPr baseColWidth="10" defaultRowHeight="15" x14ac:dyDescent="0.25"/>
  <sheetData>
    <row r="2" spans="2:2" x14ac:dyDescent="0.25">
      <c r="B2" s="113" t="s">
        <v>104</v>
      </c>
    </row>
    <row r="4" spans="2:2" x14ac:dyDescent="0.25">
      <c r="B4" s="112" t="s">
        <v>105</v>
      </c>
    </row>
    <row r="5" spans="2:2" s="161" customFormat="1" x14ac:dyDescent="0.25">
      <c r="B5" s="112" t="s">
        <v>316</v>
      </c>
    </row>
    <row r="6" spans="2:2" x14ac:dyDescent="0.25">
      <c r="B6" s="112" t="s">
        <v>317</v>
      </c>
    </row>
    <row r="7" spans="2:2" x14ac:dyDescent="0.25">
      <c r="B7" s="112" t="s">
        <v>318</v>
      </c>
    </row>
    <row r="8" spans="2:2" x14ac:dyDescent="0.25">
      <c r="B8" s="112" t="s">
        <v>319</v>
      </c>
    </row>
    <row r="9" spans="2:2" x14ac:dyDescent="0.25">
      <c r="B9" s="112" t="s">
        <v>320</v>
      </c>
    </row>
    <row r="10" spans="2:2" x14ac:dyDescent="0.25">
      <c r="B10" s="112" t="s">
        <v>321</v>
      </c>
    </row>
    <row r="11" spans="2:2" x14ac:dyDescent="0.25">
      <c r="B11" s="112" t="s">
        <v>322</v>
      </c>
    </row>
    <row r="12" spans="2:2" x14ac:dyDescent="0.25">
      <c r="B12" s="112" t="s">
        <v>358</v>
      </c>
    </row>
    <row r="13" spans="2:2" x14ac:dyDescent="0.25">
      <c r="B13" s="112" t="s">
        <v>359</v>
      </c>
    </row>
    <row r="14" spans="2:2" x14ac:dyDescent="0.25">
      <c r="B14" s="112" t="s">
        <v>360</v>
      </c>
    </row>
  </sheetData>
  <hyperlinks>
    <hyperlink ref="B4" location="'1. Evolution sexe'!A1" display="1. Evolution des effectifs en fonction du sexe"/>
    <hyperlink ref="B6" location="'3. Evolution organisme'!A1" display="3. Evolution des effectifs en fonction du type d'organisme"/>
    <hyperlink ref="B7" location="'4. Profils'!A1" display="4. Profils des volontaires, diplômes et activité"/>
    <hyperlink ref="B8" location="'5. Profils'!A1" display="5. Evolution du profil des volontaires"/>
    <hyperlink ref="B9" location="'6. Âge'!A1" display="6. Age des volontaires"/>
    <hyperlink ref="B10" location="'7. Régions'!A1" display="7. Répartition par régions"/>
    <hyperlink ref="B11" location="'8. Départements'!A1" display="8. Répartition par départements"/>
    <hyperlink ref="B12" location="'10. Domaines'!A1" display="10. Evolution domaines des missions"/>
    <hyperlink ref="B14" location="'12. Durée hebdomadaire'!A1" display="12. Durée hebdomadaire"/>
    <hyperlink ref="B13" location="'11. Durée missions'!A1" display="11. Durée des missions"/>
    <hyperlink ref="B5" location="'2. Flux trimestriels'!A1" display="2. Flux trimestriel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B1:L41"/>
  <sheetViews>
    <sheetView showGridLines="0" zoomScaleNormal="100" workbookViewId="0">
      <selection activeCell="K27" sqref="K27"/>
    </sheetView>
  </sheetViews>
  <sheetFormatPr baseColWidth="10" defaultColWidth="11.5703125" defaultRowHeight="12" x14ac:dyDescent="0.2"/>
  <cols>
    <col min="1" max="1" width="2.85546875" style="1" customWidth="1"/>
    <col min="2" max="2" width="22" style="1" customWidth="1"/>
    <col min="3" max="9" width="10" style="1" customWidth="1"/>
    <col min="10" max="10" width="10" style="7" customWidth="1"/>
    <col min="11" max="16384" width="11.5703125" style="1"/>
  </cols>
  <sheetData>
    <row r="1" spans="2:12" ht="15" x14ac:dyDescent="0.25">
      <c r="B1" s="112" t="s">
        <v>304</v>
      </c>
    </row>
    <row r="2" spans="2:12" s="41" customFormat="1" ht="18" customHeight="1" x14ac:dyDescent="0.25">
      <c r="B2" s="41" t="s">
        <v>65</v>
      </c>
    </row>
    <row r="3" spans="2:12" s="39" customFormat="1" ht="18" customHeight="1" x14ac:dyDescent="0.25">
      <c r="B3" s="34"/>
      <c r="C3" s="19">
        <v>2010</v>
      </c>
      <c r="D3" s="19">
        <v>2011</v>
      </c>
      <c r="E3" s="19">
        <v>2012</v>
      </c>
      <c r="F3" s="19">
        <v>2013</v>
      </c>
      <c r="G3" s="19">
        <v>2014</v>
      </c>
      <c r="H3" s="19">
        <v>2015</v>
      </c>
      <c r="I3" s="19">
        <v>2016</v>
      </c>
      <c r="J3" s="19">
        <v>2017</v>
      </c>
      <c r="K3" s="19">
        <v>2018</v>
      </c>
      <c r="L3" s="19">
        <v>2019</v>
      </c>
    </row>
    <row r="4" spans="2:12" x14ac:dyDescent="0.2">
      <c r="B4" s="48" t="s">
        <v>9</v>
      </c>
      <c r="C4" s="50">
        <v>27.113848202396806</v>
      </c>
      <c r="D4" s="50">
        <v>27.710214131164662</v>
      </c>
      <c r="E4" s="50">
        <v>26.380903490759756</v>
      </c>
      <c r="F4" s="50">
        <v>25.79965907951469</v>
      </c>
      <c r="G4" s="50">
        <v>25.482326111744584</v>
      </c>
      <c r="H4" s="50">
        <v>29.074059530354194</v>
      </c>
      <c r="I4" s="50">
        <v>27.702831386490605</v>
      </c>
      <c r="J4" s="50">
        <v>27.4</v>
      </c>
      <c r="K4" s="50">
        <v>28</v>
      </c>
      <c r="L4" s="50">
        <v>29</v>
      </c>
    </row>
    <row r="5" spans="2:12" x14ac:dyDescent="0.2">
      <c r="B5" s="23" t="s">
        <v>51</v>
      </c>
      <c r="C5" s="51">
        <v>8.7716378162450059</v>
      </c>
      <c r="D5" s="51">
        <v>3.4768335447287919</v>
      </c>
      <c r="E5" s="51">
        <v>3.2751540041067764</v>
      </c>
      <c r="F5" s="51">
        <v>3.4844079013336007</v>
      </c>
      <c r="G5" s="51">
        <v>3.6442417331812997</v>
      </c>
      <c r="H5" s="51">
        <v>3.6205136260111521</v>
      </c>
      <c r="I5" s="51">
        <v>3.6027171152869477</v>
      </c>
      <c r="J5" s="51">
        <v>3.63</v>
      </c>
      <c r="K5" s="51">
        <v>3</v>
      </c>
      <c r="L5" s="51">
        <v>3</v>
      </c>
    </row>
    <row r="6" spans="2:12" x14ac:dyDescent="0.2">
      <c r="B6" s="23" t="s">
        <v>62</v>
      </c>
      <c r="C6" s="51">
        <v>18.009320905459386</v>
      </c>
      <c r="D6" s="51">
        <v>18.100425277922852</v>
      </c>
      <c r="E6" s="51">
        <v>19.938398357289529</v>
      </c>
      <c r="F6" s="51">
        <v>18.770680838263313</v>
      </c>
      <c r="G6" s="51">
        <v>19.822120866590652</v>
      </c>
      <c r="H6" s="51">
        <v>22.359224063457159</v>
      </c>
      <c r="I6" s="51">
        <v>25.472955815134586</v>
      </c>
      <c r="J6" s="51">
        <v>26.43</v>
      </c>
      <c r="K6" s="51">
        <v>31</v>
      </c>
      <c r="L6" s="51">
        <v>32</v>
      </c>
    </row>
    <row r="7" spans="2:12" x14ac:dyDescent="0.2">
      <c r="B7" s="23" t="s">
        <v>15</v>
      </c>
      <c r="C7" s="51">
        <v>12.333555259653794</v>
      </c>
      <c r="D7" s="51">
        <v>16.235171230321573</v>
      </c>
      <c r="E7" s="51">
        <v>16.868583162217661</v>
      </c>
      <c r="F7" s="51">
        <v>17.878271332598015</v>
      </c>
      <c r="G7" s="51">
        <v>17.559863169897376</v>
      </c>
      <c r="H7" s="51">
        <v>15.442812639074322</v>
      </c>
      <c r="I7" s="51">
        <v>14.596559167089893</v>
      </c>
      <c r="J7" s="51">
        <v>12.85</v>
      </c>
      <c r="K7" s="51">
        <v>12</v>
      </c>
      <c r="L7" s="51">
        <v>12</v>
      </c>
    </row>
    <row r="8" spans="2:12" x14ac:dyDescent="0.2">
      <c r="B8" s="23" t="s">
        <v>10</v>
      </c>
      <c r="C8" s="51">
        <v>6.8741677762982691</v>
      </c>
      <c r="D8" s="51">
        <v>9.8112362903827499</v>
      </c>
      <c r="E8" s="51">
        <v>11.904517453798768</v>
      </c>
      <c r="F8" s="51">
        <v>12.779504662588989</v>
      </c>
      <c r="G8" s="51">
        <v>13.527936145952109</v>
      </c>
      <c r="H8" s="51">
        <v>12.919186366135238</v>
      </c>
      <c r="I8" s="51">
        <v>12.734890807516509</v>
      </c>
      <c r="J8" s="51">
        <v>14.11</v>
      </c>
      <c r="K8" s="51">
        <v>15</v>
      </c>
      <c r="L8" s="51">
        <v>14</v>
      </c>
    </row>
    <row r="9" spans="2:12" x14ac:dyDescent="0.2">
      <c r="B9" s="23" t="s">
        <v>11</v>
      </c>
      <c r="C9" s="51">
        <v>15.14647137150466</v>
      </c>
      <c r="D9" s="51">
        <v>12.29575468178766</v>
      </c>
      <c r="E9" s="51">
        <v>10.703285420944558</v>
      </c>
      <c r="F9" s="51">
        <v>10.05715431665497</v>
      </c>
      <c r="G9" s="51">
        <v>9.5233751425313571</v>
      </c>
      <c r="H9" s="51">
        <v>8.4845153014476811</v>
      </c>
      <c r="I9" s="51">
        <v>7.2308278313864909</v>
      </c>
      <c r="J9" s="51">
        <v>6.76</v>
      </c>
      <c r="K9" s="51">
        <v>6</v>
      </c>
      <c r="L9" s="51">
        <v>6</v>
      </c>
    </row>
    <row r="10" spans="2:12" x14ac:dyDescent="0.2">
      <c r="B10" s="23" t="s">
        <v>52</v>
      </c>
      <c r="C10" s="51">
        <v>8.3555259653794938</v>
      </c>
      <c r="D10" s="51">
        <v>7.4610161904051324</v>
      </c>
      <c r="E10" s="51">
        <v>7.1047227926078023</v>
      </c>
      <c r="F10" s="51">
        <v>7.8411711621377727</v>
      </c>
      <c r="G10" s="51">
        <v>7.4116305587229192</v>
      </c>
      <c r="H10" s="51">
        <v>5.7095735490457864</v>
      </c>
      <c r="I10" s="51">
        <v>6.49917470797359</v>
      </c>
      <c r="J10" s="51">
        <v>7.07</v>
      </c>
      <c r="K10" s="51">
        <v>4</v>
      </c>
      <c r="L10" s="51">
        <v>3</v>
      </c>
    </row>
    <row r="11" spans="2:12" x14ac:dyDescent="0.2">
      <c r="B11" s="23" t="s">
        <v>63</v>
      </c>
      <c r="C11" s="51">
        <v>2.1138482023968042</v>
      </c>
      <c r="D11" s="51">
        <v>2.4248302618816679</v>
      </c>
      <c r="E11" s="51">
        <v>2.279260780287474</v>
      </c>
      <c r="F11" s="51">
        <v>2.2711320565526925</v>
      </c>
      <c r="G11" s="51">
        <v>2.2668187001140252</v>
      </c>
      <c r="H11" s="51">
        <v>1.5654860074871071</v>
      </c>
      <c r="I11" s="51">
        <v>1.2538090401218893</v>
      </c>
      <c r="J11" s="51">
        <v>0.89</v>
      </c>
      <c r="K11" s="51">
        <v>1</v>
      </c>
      <c r="L11" s="51">
        <v>1</v>
      </c>
    </row>
    <row r="12" spans="2:12" x14ac:dyDescent="0.2">
      <c r="B12" s="49" t="s">
        <v>60</v>
      </c>
      <c r="C12" s="52">
        <v>1.2816245006657789</v>
      </c>
      <c r="D12" s="52">
        <v>2.4845183914049094</v>
      </c>
      <c r="E12" s="52">
        <v>1.5451745379876796</v>
      </c>
      <c r="F12" s="52">
        <v>1.118018650355961</v>
      </c>
      <c r="G12" s="52">
        <v>0.76168757126567843</v>
      </c>
      <c r="H12" s="52">
        <v>0.82462891698735563</v>
      </c>
      <c r="I12" s="52">
        <v>0.90623412899949218</v>
      </c>
      <c r="J12" s="52">
        <v>0.86</v>
      </c>
      <c r="K12" s="52">
        <v>1</v>
      </c>
      <c r="L12" s="52">
        <v>1</v>
      </c>
    </row>
    <row r="13" spans="2:12" x14ac:dyDescent="0.2">
      <c r="B13" s="40" t="s">
        <v>53</v>
      </c>
      <c r="C13" s="53">
        <v>100</v>
      </c>
      <c r="D13" s="53">
        <v>100</v>
      </c>
      <c r="E13" s="53">
        <v>100</v>
      </c>
      <c r="F13" s="53">
        <v>100</v>
      </c>
      <c r="G13" s="53">
        <v>100</v>
      </c>
      <c r="H13" s="53">
        <v>100</v>
      </c>
      <c r="I13" s="53">
        <v>100</v>
      </c>
      <c r="J13" s="53">
        <v>100</v>
      </c>
      <c r="K13" s="53">
        <f>100</f>
        <v>100</v>
      </c>
      <c r="L13" s="53">
        <f>100</f>
        <v>100</v>
      </c>
    </row>
    <row r="14" spans="2:12" x14ac:dyDescent="0.2">
      <c r="B14" s="6" t="s">
        <v>357</v>
      </c>
    </row>
    <row r="15" spans="2:12" x14ac:dyDescent="0.2">
      <c r="B15" s="6" t="s">
        <v>346</v>
      </c>
    </row>
    <row r="18" spans="2:2" ht="12.75" x14ac:dyDescent="0.2">
      <c r="B18" s="41" t="s">
        <v>64</v>
      </c>
    </row>
    <row r="40" spans="2:2" x14ac:dyDescent="0.2">
      <c r="B40" s="6" t="s">
        <v>357</v>
      </c>
    </row>
    <row r="41" spans="2:2" x14ac:dyDescent="0.2">
      <c r="B41" s="6" t="s">
        <v>347</v>
      </c>
    </row>
  </sheetData>
  <hyperlinks>
    <hyperlink ref="B1" location="Sommaire!A1" display="Retour au sommaire"/>
  </hyperlinks>
  <pageMargins left="0.7" right="0.7" top="0.75" bottom="0.75" header="0.3" footer="0.3"/>
  <pageSetup paperSize="9" scale="84"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W48"/>
  <sheetViews>
    <sheetView showGridLines="0" tabSelected="1" topLeftCell="A11" zoomScaleNormal="100" workbookViewId="0">
      <selection activeCell="J21" sqref="J21"/>
    </sheetView>
  </sheetViews>
  <sheetFormatPr baseColWidth="10" defaultRowHeight="15" x14ac:dyDescent="0.25"/>
  <cols>
    <col min="1" max="1" width="2.85546875" style="95" customWidth="1"/>
    <col min="2" max="2" width="40.5703125" customWidth="1"/>
    <col min="3" max="9" width="8.28515625" customWidth="1"/>
    <col min="12" max="12" width="4.28515625" customWidth="1"/>
  </cols>
  <sheetData>
    <row r="1" spans="2:23" s="95" customFormat="1" x14ac:dyDescent="0.25">
      <c r="B1" s="112" t="s">
        <v>304</v>
      </c>
    </row>
    <row r="2" spans="2:23" x14ac:dyDescent="0.25">
      <c r="B2" s="41" t="s">
        <v>83</v>
      </c>
      <c r="C2" s="33"/>
      <c r="D2" s="33"/>
      <c r="E2" s="33"/>
      <c r="F2" s="33"/>
      <c r="G2" s="33"/>
      <c r="H2" s="33"/>
    </row>
    <row r="3" spans="2:23" s="67" customFormat="1" ht="12.75" x14ac:dyDescent="0.2">
      <c r="B3" s="126" t="s">
        <v>92</v>
      </c>
      <c r="C3" s="126">
        <v>2011</v>
      </c>
      <c r="D3" s="126">
        <v>2012</v>
      </c>
      <c r="E3" s="126">
        <v>2013</v>
      </c>
      <c r="F3" s="126">
        <v>2014</v>
      </c>
      <c r="G3" s="126">
        <v>2015</v>
      </c>
      <c r="H3" s="126">
        <v>2016</v>
      </c>
      <c r="I3" s="126">
        <v>2017</v>
      </c>
      <c r="J3" s="126">
        <v>2018</v>
      </c>
      <c r="K3" s="126">
        <v>2019</v>
      </c>
      <c r="M3" s="41" t="s">
        <v>99</v>
      </c>
    </row>
    <row r="4" spans="2:23" s="1" customFormat="1" ht="12" x14ac:dyDescent="0.2">
      <c r="B4" s="11" t="s">
        <v>77</v>
      </c>
      <c r="C4" s="62">
        <v>8.9504766</v>
      </c>
      <c r="D4" s="62">
        <v>8.9284300000000005</v>
      </c>
      <c r="E4" s="62">
        <v>8.6408619000000009</v>
      </c>
      <c r="F4" s="62">
        <v>7.8145007</v>
      </c>
      <c r="G4" s="62">
        <v>7.6181096000000004</v>
      </c>
      <c r="H4" s="62">
        <v>7.6678458999999997</v>
      </c>
      <c r="I4" s="62">
        <v>7.8923595000000004</v>
      </c>
      <c r="J4" s="62">
        <v>8</v>
      </c>
      <c r="K4" s="62">
        <v>8.1</v>
      </c>
    </row>
    <row r="5" spans="2:23" s="1" customFormat="1" ht="12" x14ac:dyDescent="0.2">
      <c r="B5" s="11" t="s">
        <v>76</v>
      </c>
      <c r="C5" s="62">
        <v>5.0263590999999996</v>
      </c>
      <c r="D5" s="62">
        <v>4.9684603999999997</v>
      </c>
      <c r="E5" s="62">
        <v>4.9518845000000002</v>
      </c>
      <c r="F5" s="62">
        <v>4.5715326999999997</v>
      </c>
      <c r="G5" s="62">
        <v>3.9560222</v>
      </c>
      <c r="H5" s="62">
        <v>4.1392632000000003</v>
      </c>
      <c r="I5" s="62">
        <v>4.3073246999999997</v>
      </c>
      <c r="J5" s="62">
        <v>3.9</v>
      </c>
      <c r="K5" s="62">
        <v>4.4000000000000004</v>
      </c>
    </row>
    <row r="6" spans="2:23" s="1" customFormat="1" x14ac:dyDescent="0.25">
      <c r="B6" s="18" t="s">
        <v>75</v>
      </c>
      <c r="C6" s="64">
        <v>7.6520256</v>
      </c>
      <c r="D6" s="64">
        <v>7.8839775000000003</v>
      </c>
      <c r="E6" s="64">
        <v>7.8042305000000001</v>
      </c>
      <c r="F6" s="64">
        <v>7.1773797000000004</v>
      </c>
      <c r="G6" s="64">
        <v>6.8343046999999997</v>
      </c>
      <c r="H6" s="64">
        <v>6.8428152000000004</v>
      </c>
      <c r="I6" s="64">
        <v>7.0424781999999997</v>
      </c>
      <c r="J6" s="64">
        <v>7.2</v>
      </c>
      <c r="K6" s="64">
        <v>7.3</v>
      </c>
      <c r="Q6" s="93"/>
      <c r="R6" s="93"/>
      <c r="S6" s="93"/>
      <c r="T6" s="93"/>
      <c r="U6" s="93"/>
      <c r="V6" s="93"/>
      <c r="W6" s="93"/>
    </row>
    <row r="7" spans="2:23" ht="12" customHeight="1" x14ac:dyDescent="0.25">
      <c r="B7" s="6" t="s">
        <v>357</v>
      </c>
      <c r="C7" s="86"/>
      <c r="D7" s="86"/>
      <c r="E7" s="86"/>
      <c r="Q7" s="93"/>
      <c r="R7" s="93"/>
      <c r="S7" s="93"/>
      <c r="T7" s="93"/>
      <c r="U7" s="93"/>
      <c r="V7" s="93"/>
      <c r="W7" s="93"/>
    </row>
    <row r="8" spans="2:23" s="1" customFormat="1" ht="12" customHeight="1" x14ac:dyDescent="0.25">
      <c r="B8" s="6" t="s">
        <v>348</v>
      </c>
      <c r="Q8" s="93"/>
      <c r="R8" s="93"/>
      <c r="S8" s="93"/>
      <c r="T8" s="93"/>
      <c r="U8" s="93"/>
      <c r="V8" s="93"/>
      <c r="W8" s="93"/>
    </row>
    <row r="9" spans="2:23" s="1" customFormat="1" x14ac:dyDescent="0.25">
      <c r="B9" s="6"/>
      <c r="Q9" s="96"/>
      <c r="R9" s="96"/>
      <c r="S9" s="96"/>
      <c r="T9" s="96"/>
      <c r="U9" s="96"/>
      <c r="V9" s="96"/>
      <c r="W9" s="96"/>
    </row>
    <row r="10" spans="2:23" x14ac:dyDescent="0.25">
      <c r="B10" s="6"/>
      <c r="C10" s="86"/>
      <c r="D10" s="86"/>
      <c r="E10" s="86"/>
    </row>
    <row r="11" spans="2:23" x14ac:dyDescent="0.25">
      <c r="B11" s="41" t="s">
        <v>100</v>
      </c>
      <c r="C11" s="42"/>
      <c r="D11" s="42"/>
      <c r="E11" s="42"/>
      <c r="F11" s="42"/>
      <c r="G11" s="42"/>
      <c r="H11" s="42"/>
      <c r="I11" s="95"/>
    </row>
    <row r="12" spans="2:23" s="67" customFormat="1" ht="12" x14ac:dyDescent="0.2">
      <c r="B12" s="167" t="s">
        <v>92</v>
      </c>
      <c r="C12" s="126">
        <v>2011</v>
      </c>
      <c r="D12" s="126">
        <v>2012</v>
      </c>
      <c r="E12" s="126">
        <v>2013</v>
      </c>
      <c r="F12" s="126">
        <v>2014</v>
      </c>
      <c r="G12" s="126">
        <v>2015</v>
      </c>
      <c r="H12" s="126">
        <v>2016</v>
      </c>
      <c r="I12" s="126">
        <v>2017</v>
      </c>
      <c r="J12" s="126">
        <v>2018</v>
      </c>
      <c r="K12" s="126">
        <v>2019</v>
      </c>
    </row>
    <row r="13" spans="2:23" s="68" customFormat="1" ht="12" x14ac:dyDescent="0.2">
      <c r="B13" s="124" t="s">
        <v>93</v>
      </c>
      <c r="C13" s="97">
        <v>27.84</v>
      </c>
      <c r="D13" s="97">
        <v>28.14</v>
      </c>
      <c r="E13" s="97">
        <v>29.72</v>
      </c>
      <c r="F13" s="97">
        <v>40.090000000000003</v>
      </c>
      <c r="G13" s="97">
        <v>36.24</v>
      </c>
      <c r="H13" s="97">
        <v>28.29</v>
      </c>
      <c r="I13" s="97">
        <v>20.47</v>
      </c>
      <c r="J13" s="97">
        <v>17</v>
      </c>
      <c r="K13" s="97">
        <v>17</v>
      </c>
    </row>
    <row r="14" spans="2:23" s="68" customFormat="1" ht="12" x14ac:dyDescent="0.2">
      <c r="B14" s="124" t="s">
        <v>94</v>
      </c>
      <c r="C14" s="97">
        <v>3.42</v>
      </c>
      <c r="D14" s="97">
        <v>3.04</v>
      </c>
      <c r="E14" s="97">
        <v>3.58</v>
      </c>
      <c r="F14" s="97">
        <v>4.13</v>
      </c>
      <c r="G14" s="97">
        <v>5.52</v>
      </c>
      <c r="H14" s="97">
        <v>10.3</v>
      </c>
      <c r="I14" s="97">
        <v>8.64</v>
      </c>
      <c r="J14" s="97">
        <v>9</v>
      </c>
      <c r="K14" s="97">
        <v>6</v>
      </c>
    </row>
    <row r="15" spans="2:23" s="1" customFormat="1" ht="12" x14ac:dyDescent="0.2">
      <c r="B15" s="124" t="s">
        <v>95</v>
      </c>
      <c r="C15" s="97">
        <v>5.94</v>
      </c>
      <c r="D15" s="97">
        <v>11.82</v>
      </c>
      <c r="E15" s="97">
        <v>13.37</v>
      </c>
      <c r="F15" s="97">
        <v>20.7</v>
      </c>
      <c r="G15" s="97">
        <v>32.619999999999997</v>
      </c>
      <c r="H15" s="97">
        <v>40.619999999999997</v>
      </c>
      <c r="I15" s="97">
        <v>45.63</v>
      </c>
      <c r="J15" s="97">
        <v>46</v>
      </c>
      <c r="K15" s="97">
        <v>47</v>
      </c>
    </row>
    <row r="16" spans="2:23" s="1" customFormat="1" ht="12" x14ac:dyDescent="0.2">
      <c r="B16" s="124" t="s">
        <v>96</v>
      </c>
      <c r="C16" s="97">
        <v>26.14</v>
      </c>
      <c r="D16" s="97">
        <v>17.489999999999998</v>
      </c>
      <c r="E16" s="97">
        <v>19.079999999999998</v>
      </c>
      <c r="F16" s="97">
        <v>16.62</v>
      </c>
      <c r="G16" s="97">
        <v>14.46</v>
      </c>
      <c r="H16" s="97">
        <v>10.37</v>
      </c>
      <c r="I16" s="97">
        <v>13.12</v>
      </c>
      <c r="J16" s="97">
        <v>14</v>
      </c>
      <c r="K16" s="97">
        <v>16</v>
      </c>
    </row>
    <row r="17" spans="2:20" s="1" customFormat="1" ht="12" x14ac:dyDescent="0.2">
      <c r="B17" s="124" t="s">
        <v>97</v>
      </c>
      <c r="C17" s="97">
        <v>6.8</v>
      </c>
      <c r="D17" s="97">
        <v>9.98</v>
      </c>
      <c r="E17" s="97">
        <v>11.63</v>
      </c>
      <c r="F17" s="97">
        <v>9.81</v>
      </c>
      <c r="G17" s="97">
        <v>7.37</v>
      </c>
      <c r="H17" s="97">
        <v>8.09</v>
      </c>
      <c r="I17" s="97">
        <v>9.0299999999999994</v>
      </c>
      <c r="J17" s="97">
        <v>10</v>
      </c>
      <c r="K17" s="97">
        <v>10</v>
      </c>
    </row>
    <row r="18" spans="2:20" s="1" customFormat="1" ht="12" x14ac:dyDescent="0.2">
      <c r="B18" s="125" t="s">
        <v>98</v>
      </c>
      <c r="C18" s="98">
        <v>29.86</v>
      </c>
      <c r="D18" s="98">
        <v>29.51</v>
      </c>
      <c r="E18" s="98">
        <v>22.619999999999997</v>
      </c>
      <c r="F18" s="98">
        <v>8.65</v>
      </c>
      <c r="G18" s="98">
        <v>3.79</v>
      </c>
      <c r="H18" s="98">
        <v>2.3199999999999998</v>
      </c>
      <c r="I18" s="98">
        <v>3.11</v>
      </c>
      <c r="J18" s="98">
        <v>4</v>
      </c>
      <c r="K18" s="98">
        <v>3</v>
      </c>
    </row>
    <row r="19" spans="2:20" s="1" customFormat="1" ht="12" x14ac:dyDescent="0.2">
      <c r="B19" s="6" t="s">
        <v>357</v>
      </c>
    </row>
    <row r="20" spans="2:20" s="1" customFormat="1" ht="12" customHeight="1" x14ac:dyDescent="0.2">
      <c r="B20" s="195" t="s">
        <v>349</v>
      </c>
      <c r="C20" s="195"/>
      <c r="D20" s="195"/>
      <c r="E20" s="195"/>
      <c r="F20" s="195"/>
      <c r="G20" s="195"/>
      <c r="H20" s="195"/>
      <c r="I20" s="195"/>
    </row>
    <row r="21" spans="2:20" s="1" customFormat="1" ht="12" x14ac:dyDescent="0.2">
      <c r="B21" s="122"/>
    </row>
    <row r="22" spans="2:20" x14ac:dyDescent="0.25">
      <c r="B22" s="6"/>
    </row>
    <row r="23" spans="2:20" x14ac:dyDescent="0.25">
      <c r="B23" s="69"/>
      <c r="C23" s="70"/>
      <c r="D23" s="70"/>
      <c r="E23" s="70"/>
      <c r="F23" s="70"/>
      <c r="G23" s="70"/>
      <c r="H23" s="70"/>
      <c r="I23" s="70"/>
      <c r="M23" s="6" t="s">
        <v>357</v>
      </c>
      <c r="N23" s="1"/>
      <c r="O23" s="1"/>
      <c r="P23" s="1"/>
      <c r="Q23" s="1"/>
      <c r="R23" s="1"/>
      <c r="S23" s="1"/>
      <c r="T23" s="1"/>
    </row>
    <row r="24" spans="2:20" s="68" customFormat="1" x14ac:dyDescent="0.25">
      <c r="B24" s="41" t="s">
        <v>85</v>
      </c>
      <c r="C24" s="42"/>
      <c r="D24" s="42"/>
      <c r="E24" s="42"/>
      <c r="F24" s="42"/>
      <c r="G24" s="42"/>
      <c r="H24" s="42"/>
      <c r="I24"/>
      <c r="M24" s="195" t="s">
        <v>351</v>
      </c>
      <c r="N24" s="195"/>
      <c r="O24" s="195"/>
      <c r="P24" s="195"/>
      <c r="Q24" s="195"/>
      <c r="R24" s="195"/>
      <c r="S24" s="195"/>
      <c r="T24" s="195"/>
    </row>
    <row r="25" spans="2:20" x14ac:dyDescent="0.25">
      <c r="B25" s="66" t="s">
        <v>92</v>
      </c>
      <c r="C25" s="126">
        <v>2011</v>
      </c>
      <c r="D25" s="126">
        <v>2012</v>
      </c>
      <c r="E25" s="126">
        <v>2013</v>
      </c>
      <c r="F25" s="126">
        <v>2014</v>
      </c>
      <c r="G25" s="126">
        <v>2015</v>
      </c>
      <c r="H25" s="126">
        <v>2016</v>
      </c>
      <c r="I25" s="126">
        <v>2017</v>
      </c>
      <c r="J25" s="126">
        <v>2018</v>
      </c>
      <c r="K25" s="126">
        <v>2019</v>
      </c>
      <c r="M25" s="96"/>
      <c r="N25" s="96"/>
      <c r="O25" s="96"/>
      <c r="P25" s="96"/>
      <c r="Q25" s="96"/>
      <c r="R25" s="96"/>
      <c r="S25" s="96"/>
      <c r="T25" s="94"/>
    </row>
    <row r="26" spans="2:20" x14ac:dyDescent="0.25">
      <c r="B26" s="75" t="s">
        <v>84</v>
      </c>
      <c r="C26" s="76">
        <f>SUM(C28:C33)</f>
        <v>33.090000000000003</v>
      </c>
      <c r="D26" s="76">
        <f t="shared" ref="D26:I26" si="0">SUM(D28:D33)</f>
        <v>26.379999999999995</v>
      </c>
      <c r="E26" s="76">
        <f t="shared" si="0"/>
        <v>22.67</v>
      </c>
      <c r="F26" s="76">
        <f t="shared" si="0"/>
        <v>19.639999999999997</v>
      </c>
      <c r="G26" s="76">
        <f t="shared" si="0"/>
        <v>21.400000000000002</v>
      </c>
      <c r="H26" s="76">
        <f t="shared" si="0"/>
        <v>23.389999999999997</v>
      </c>
      <c r="I26" s="76">
        <f t="shared" si="0"/>
        <v>23.709999999999997</v>
      </c>
      <c r="J26" s="186">
        <v>20.7</v>
      </c>
      <c r="K26" s="186">
        <v>22.4</v>
      </c>
      <c r="M26" s="44" t="s">
        <v>82</v>
      </c>
    </row>
    <row r="27" spans="2:20" x14ac:dyDescent="0.25">
      <c r="B27" s="69" t="s">
        <v>88</v>
      </c>
      <c r="C27" s="70"/>
      <c r="D27" s="70"/>
      <c r="E27" s="70"/>
      <c r="F27" s="70"/>
      <c r="G27" s="70"/>
      <c r="H27" s="70"/>
      <c r="I27" s="70"/>
      <c r="J27" s="187"/>
      <c r="K27" s="187"/>
    </row>
    <row r="28" spans="2:20" x14ac:dyDescent="0.25">
      <c r="B28" s="72" t="s">
        <v>81</v>
      </c>
      <c r="C28" s="65">
        <v>17.39</v>
      </c>
      <c r="D28" s="65">
        <v>11.55</v>
      </c>
      <c r="E28" s="65">
        <v>8.24</v>
      </c>
      <c r="F28" s="65">
        <v>7.13</v>
      </c>
      <c r="G28" s="65">
        <v>8.36</v>
      </c>
      <c r="H28" s="65">
        <v>8.2799999999999994</v>
      </c>
      <c r="I28" s="65">
        <v>8.2100000000000009</v>
      </c>
      <c r="J28" s="188">
        <v>6.2</v>
      </c>
      <c r="K28" s="188">
        <v>6.7</v>
      </c>
    </row>
    <row r="29" spans="2:20" x14ac:dyDescent="0.25">
      <c r="B29" s="72" t="s">
        <v>87</v>
      </c>
      <c r="C29" s="65">
        <v>8.34</v>
      </c>
      <c r="D29" s="65">
        <v>7.92</v>
      </c>
      <c r="E29" s="65">
        <v>8.2100000000000009</v>
      </c>
      <c r="F29" s="65">
        <v>6.9700000000000006</v>
      </c>
      <c r="G29" s="65">
        <v>6.85</v>
      </c>
      <c r="H29" s="65">
        <v>8.09</v>
      </c>
      <c r="I29" s="65">
        <v>7.58</v>
      </c>
      <c r="J29" s="188">
        <v>6</v>
      </c>
      <c r="K29" s="188">
        <v>6.4</v>
      </c>
    </row>
    <row r="30" spans="2:20" x14ac:dyDescent="0.25">
      <c r="B30" s="72" t="s">
        <v>78</v>
      </c>
      <c r="C30" s="65">
        <v>4.04</v>
      </c>
      <c r="D30" s="65">
        <v>4.01</v>
      </c>
      <c r="E30" s="65">
        <v>3.9</v>
      </c>
      <c r="F30" s="65">
        <v>3.47</v>
      </c>
      <c r="G30" s="65">
        <v>4.07</v>
      </c>
      <c r="H30" s="65">
        <v>4.51</v>
      </c>
      <c r="I30" s="65">
        <v>4.74</v>
      </c>
      <c r="J30" s="188">
        <v>3.9</v>
      </c>
      <c r="K30" s="188">
        <v>4.3</v>
      </c>
    </row>
    <row r="31" spans="2:20" x14ac:dyDescent="0.25">
      <c r="B31" s="72" t="s">
        <v>80</v>
      </c>
      <c r="C31" s="65">
        <v>0.96</v>
      </c>
      <c r="D31" s="65">
        <v>1.17</v>
      </c>
      <c r="E31" s="65">
        <v>1.1399999999999999</v>
      </c>
      <c r="F31" s="65">
        <v>1.08</v>
      </c>
      <c r="G31" s="65">
        <v>1</v>
      </c>
      <c r="H31" s="65">
        <v>1.29</v>
      </c>
      <c r="I31" s="65">
        <v>1.29</v>
      </c>
      <c r="J31" s="188">
        <v>1.3</v>
      </c>
      <c r="K31" s="188">
        <v>1.3</v>
      </c>
    </row>
    <row r="32" spans="2:20" x14ac:dyDescent="0.25">
      <c r="B32" s="72" t="s">
        <v>79</v>
      </c>
      <c r="C32" s="65">
        <v>2.34</v>
      </c>
      <c r="D32" s="65">
        <v>1.58</v>
      </c>
      <c r="E32" s="65">
        <v>1.02</v>
      </c>
      <c r="F32" s="65">
        <v>0.84</v>
      </c>
      <c r="G32" s="65">
        <v>0.93</v>
      </c>
      <c r="H32" s="65">
        <v>1.01</v>
      </c>
      <c r="I32" s="65">
        <v>0.99</v>
      </c>
      <c r="J32" s="188">
        <v>0.8</v>
      </c>
      <c r="K32" s="188">
        <v>0.8</v>
      </c>
    </row>
    <row r="33" spans="2:21" x14ac:dyDescent="0.25">
      <c r="B33" s="71" t="s">
        <v>86</v>
      </c>
      <c r="C33" s="63">
        <v>0.02</v>
      </c>
      <c r="D33" s="63">
        <v>0.15</v>
      </c>
      <c r="E33" s="63">
        <v>0.16</v>
      </c>
      <c r="F33" s="63">
        <v>0.15</v>
      </c>
      <c r="G33" s="63">
        <v>0.19</v>
      </c>
      <c r="H33" s="63">
        <v>0.21</v>
      </c>
      <c r="I33" s="63">
        <v>0.89999999999999991</v>
      </c>
      <c r="J33" s="189">
        <v>2.5</v>
      </c>
      <c r="K33" s="189">
        <v>2.9</v>
      </c>
    </row>
    <row r="34" spans="2:21" ht="12" customHeight="1" x14ac:dyDescent="0.25">
      <c r="B34" s="6" t="s">
        <v>357</v>
      </c>
      <c r="C34" s="1"/>
      <c r="D34" s="1"/>
      <c r="E34" s="1"/>
      <c r="F34" s="1"/>
      <c r="G34" s="1"/>
      <c r="H34" s="1"/>
      <c r="I34" s="1"/>
    </row>
    <row r="35" spans="2:21" ht="12" customHeight="1" x14ac:dyDescent="0.25">
      <c r="B35" s="195" t="s">
        <v>350</v>
      </c>
      <c r="C35" s="195"/>
      <c r="D35" s="195"/>
      <c r="E35" s="195"/>
      <c r="F35" s="195"/>
      <c r="G35" s="195"/>
      <c r="H35" s="195"/>
      <c r="I35" s="195"/>
      <c r="J35" s="195"/>
      <c r="K35" s="195"/>
    </row>
    <row r="36" spans="2:21" ht="12" customHeight="1" x14ac:dyDescent="0.25">
      <c r="B36" s="6" t="s">
        <v>101</v>
      </c>
    </row>
    <row r="42" spans="2:21" ht="15" customHeight="1" x14ac:dyDescent="0.25"/>
    <row r="43" spans="2:21" ht="12" customHeight="1" x14ac:dyDescent="0.25">
      <c r="M43" s="6" t="s">
        <v>357</v>
      </c>
      <c r="N43" s="95"/>
      <c r="O43" s="95"/>
      <c r="P43" s="95"/>
      <c r="Q43" s="95"/>
      <c r="R43" s="95"/>
      <c r="S43" s="95"/>
      <c r="T43" s="95"/>
      <c r="U43" s="95"/>
    </row>
    <row r="44" spans="2:21" ht="12" customHeight="1" x14ac:dyDescent="0.25">
      <c r="M44" s="194" t="s">
        <v>350</v>
      </c>
      <c r="N44" s="194"/>
      <c r="O44" s="194"/>
      <c r="P44" s="194"/>
      <c r="Q44" s="194"/>
      <c r="R44" s="194"/>
      <c r="S44" s="194"/>
      <c r="T44" s="95"/>
      <c r="U44" s="95"/>
    </row>
    <row r="45" spans="2:21" ht="12" customHeight="1" x14ac:dyDescent="0.25">
      <c r="M45" s="194"/>
      <c r="N45" s="194"/>
      <c r="O45" s="194"/>
      <c r="P45" s="194"/>
      <c r="Q45" s="194"/>
      <c r="R45" s="194"/>
      <c r="S45" s="194"/>
      <c r="T45" s="84"/>
      <c r="U45" s="84"/>
    </row>
    <row r="46" spans="2:21" ht="12" customHeight="1" x14ac:dyDescent="0.25">
      <c r="M46" s="6" t="s">
        <v>101</v>
      </c>
    </row>
    <row r="48" spans="2:21" x14ac:dyDescent="0.25">
      <c r="O48" s="94"/>
      <c r="P48" s="94"/>
      <c r="Q48" s="94"/>
      <c r="R48" s="94"/>
      <c r="S48" s="94"/>
      <c r="T48" s="94"/>
    </row>
  </sheetData>
  <mergeCells count="4">
    <mergeCell ref="B20:I20"/>
    <mergeCell ref="M24:T24"/>
    <mergeCell ref="M44:S45"/>
    <mergeCell ref="B35:K35"/>
  </mergeCells>
  <hyperlinks>
    <hyperlink ref="B1" location="Sommaire!A1" display="Retour au sommaire"/>
  </hyperlinks>
  <pageMargins left="0.7" right="0.7" top="0.75" bottom="0.75" header="0.3" footer="0.3"/>
  <pageSetup paperSize="9" scale="7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1:T37"/>
  <sheetViews>
    <sheetView showGridLines="0" zoomScaleNormal="100" workbookViewId="0">
      <selection activeCell="N18" sqref="N18"/>
    </sheetView>
  </sheetViews>
  <sheetFormatPr baseColWidth="10" defaultColWidth="11.5703125" defaultRowHeight="12" x14ac:dyDescent="0.2"/>
  <cols>
    <col min="1" max="1" width="2.85546875" style="1" customWidth="1"/>
    <col min="2" max="2" width="24.28515625" style="1" customWidth="1"/>
    <col min="3" max="9" width="11.5703125" style="1"/>
    <col min="10" max="10" width="11.5703125" style="7"/>
    <col min="11" max="16384" width="11.5703125" style="1"/>
  </cols>
  <sheetData>
    <row r="1" spans="2:20" ht="15" x14ac:dyDescent="0.25">
      <c r="B1" s="112" t="s">
        <v>304</v>
      </c>
    </row>
    <row r="2" spans="2:20" s="43" customFormat="1" ht="18.600000000000001" customHeight="1" x14ac:dyDescent="0.2">
      <c r="B2" s="61" t="s">
        <v>315</v>
      </c>
      <c r="J2" s="44"/>
    </row>
    <row r="3" spans="2:20" s="20" customFormat="1" ht="25.15" customHeight="1" x14ac:dyDescent="0.25">
      <c r="B3" s="19"/>
      <c r="C3" s="19">
        <v>2011</v>
      </c>
      <c r="D3" s="19">
        <v>2012</v>
      </c>
      <c r="E3" s="19">
        <v>2013</v>
      </c>
      <c r="F3" s="19">
        <v>2014</v>
      </c>
      <c r="G3" s="19">
        <v>2015</v>
      </c>
      <c r="H3" s="19">
        <v>2016</v>
      </c>
      <c r="I3" s="19">
        <v>2017</v>
      </c>
      <c r="J3" s="19">
        <v>2018</v>
      </c>
      <c r="K3" s="19">
        <v>2019</v>
      </c>
    </row>
    <row r="4" spans="2:20" s="11" customFormat="1" ht="13.9" customHeight="1" x14ac:dyDescent="0.25">
      <c r="B4" s="20" t="s">
        <v>39</v>
      </c>
      <c r="C4" s="164">
        <v>49.85</v>
      </c>
      <c r="D4" s="164">
        <v>52.31</v>
      </c>
      <c r="E4" s="164">
        <v>52.2</v>
      </c>
      <c r="F4" s="164">
        <v>52.9</v>
      </c>
      <c r="G4" s="164">
        <v>53.86</v>
      </c>
      <c r="H4" s="164">
        <v>49.47</v>
      </c>
      <c r="I4" s="164">
        <v>51.29</v>
      </c>
      <c r="J4" s="169">
        <v>52</v>
      </c>
      <c r="K4" s="169">
        <v>51</v>
      </c>
      <c r="L4" s="5"/>
      <c r="M4" s="5"/>
      <c r="N4" s="5"/>
      <c r="O4" s="5"/>
      <c r="P4" s="5"/>
      <c r="Q4" s="5"/>
      <c r="R4" s="5"/>
      <c r="S4" s="5"/>
      <c r="T4" s="95"/>
    </row>
    <row r="5" spans="2:20" s="11" customFormat="1" ht="13.9" customHeight="1" x14ac:dyDescent="0.25">
      <c r="B5" s="20" t="s">
        <v>40</v>
      </c>
      <c r="C5" s="164">
        <v>14.03</v>
      </c>
      <c r="D5" s="164">
        <v>15.93</v>
      </c>
      <c r="E5" s="164">
        <v>17.690000000000001</v>
      </c>
      <c r="F5" s="164">
        <v>18.45</v>
      </c>
      <c r="G5" s="164">
        <v>16.7</v>
      </c>
      <c r="H5" s="164">
        <v>17.8</v>
      </c>
      <c r="I5" s="164">
        <v>17.010000000000002</v>
      </c>
      <c r="J5" s="169">
        <v>18</v>
      </c>
      <c r="K5" s="169">
        <v>20</v>
      </c>
      <c r="L5" s="168"/>
      <c r="M5" s="5"/>
      <c r="N5" s="5"/>
      <c r="O5" s="5"/>
      <c r="P5" s="5"/>
      <c r="Q5" s="5"/>
    </row>
    <row r="6" spans="2:20" s="11" customFormat="1" ht="13.9" customHeight="1" x14ac:dyDescent="0.25">
      <c r="B6" s="20" t="s">
        <v>41</v>
      </c>
      <c r="C6" s="164">
        <v>7.32</v>
      </c>
      <c r="D6" s="164">
        <v>7.27</v>
      </c>
      <c r="E6" s="164">
        <v>8.08</v>
      </c>
      <c r="F6" s="164">
        <v>9.7799999999999994</v>
      </c>
      <c r="G6" s="164">
        <v>14.66</v>
      </c>
      <c r="H6" s="164">
        <v>19.63</v>
      </c>
      <c r="I6" s="164">
        <v>21.27</v>
      </c>
      <c r="J6" s="169">
        <v>21</v>
      </c>
      <c r="K6" s="169">
        <v>20</v>
      </c>
      <c r="L6" s="5"/>
      <c r="M6" s="5"/>
      <c r="N6" s="5"/>
      <c r="O6" s="5"/>
      <c r="P6" s="5"/>
      <c r="Q6" s="5"/>
    </row>
    <row r="7" spans="2:20" s="11" customFormat="1" ht="13.9" customHeight="1" x14ac:dyDescent="0.25">
      <c r="B7" s="26" t="s">
        <v>42</v>
      </c>
      <c r="C7" s="165">
        <v>28.8</v>
      </c>
      <c r="D7" s="165">
        <v>24.49</v>
      </c>
      <c r="E7" s="165">
        <v>22.02</v>
      </c>
      <c r="F7" s="165">
        <v>18.88</v>
      </c>
      <c r="G7" s="165">
        <v>14.79</v>
      </c>
      <c r="H7" s="165">
        <v>13.1</v>
      </c>
      <c r="I7" s="165">
        <v>10.43</v>
      </c>
      <c r="J7" s="170">
        <v>9</v>
      </c>
      <c r="K7" s="170">
        <v>9</v>
      </c>
      <c r="L7" s="161"/>
      <c r="M7" s="161"/>
      <c r="N7" s="161"/>
      <c r="O7" s="161"/>
      <c r="P7" s="161"/>
      <c r="Q7" s="161"/>
      <c r="R7" s="161"/>
    </row>
    <row r="8" spans="2:20" s="11" customFormat="1" ht="13.9" customHeight="1" x14ac:dyDescent="0.25">
      <c r="B8" s="162" t="s">
        <v>307</v>
      </c>
      <c r="C8" s="163">
        <v>28.02</v>
      </c>
      <c r="D8" s="163">
        <v>27.77</v>
      </c>
      <c r="E8" s="163">
        <v>27.65</v>
      </c>
      <c r="F8" s="163">
        <v>27.26</v>
      </c>
      <c r="G8" s="163">
        <v>27</v>
      </c>
      <c r="H8" s="163">
        <v>27.16</v>
      </c>
      <c r="I8" s="163">
        <v>26.96</v>
      </c>
      <c r="J8" s="171">
        <v>26.8</v>
      </c>
      <c r="K8" s="171">
        <v>26.8</v>
      </c>
      <c r="L8" s="160"/>
      <c r="M8" s="160"/>
      <c r="N8" s="160"/>
      <c r="O8" s="160"/>
      <c r="P8" s="160"/>
      <c r="Q8" s="160"/>
      <c r="R8" s="160"/>
    </row>
    <row r="9" spans="2:20" x14ac:dyDescent="0.2">
      <c r="B9" s="6" t="s">
        <v>357</v>
      </c>
    </row>
    <row r="10" spans="2:20" ht="15" x14ac:dyDescent="0.25">
      <c r="B10" s="195" t="s">
        <v>352</v>
      </c>
      <c r="C10" s="195"/>
      <c r="D10" s="195"/>
      <c r="E10" s="195"/>
      <c r="F10" s="195"/>
      <c r="G10" s="195"/>
      <c r="H10" s="195"/>
      <c r="L10" s="161"/>
    </row>
    <row r="11" spans="2:20" ht="15" x14ac:dyDescent="0.25">
      <c r="B11" s="195"/>
      <c r="C11" s="195"/>
      <c r="D11" s="195"/>
      <c r="E11" s="195"/>
      <c r="F11" s="195"/>
      <c r="G11" s="195"/>
      <c r="H11" s="195"/>
      <c r="L11" s="161"/>
    </row>
    <row r="12" spans="2:20" ht="15" x14ac:dyDescent="0.25">
      <c r="L12" s="161"/>
    </row>
    <row r="13" spans="2:20" ht="15" x14ac:dyDescent="0.25">
      <c r="C13" s="41" t="s">
        <v>61</v>
      </c>
      <c r="L13" s="161"/>
    </row>
    <row r="14" spans="2:20" ht="15" x14ac:dyDescent="0.25">
      <c r="L14" s="161"/>
    </row>
    <row r="15" spans="2:20" ht="15" x14ac:dyDescent="0.25">
      <c r="L15" s="161"/>
    </row>
    <row r="16" spans="2:20" ht="15" x14ac:dyDescent="0.25">
      <c r="L16" s="161"/>
    </row>
    <row r="17" spans="12:12" ht="15" x14ac:dyDescent="0.25">
      <c r="L17" s="161"/>
    </row>
    <row r="35" spans="3:9" x14ac:dyDescent="0.2">
      <c r="C35" s="6" t="s">
        <v>357</v>
      </c>
    </row>
    <row r="36" spans="3:9" ht="12" customHeight="1" x14ac:dyDescent="0.2">
      <c r="C36" s="195" t="s">
        <v>353</v>
      </c>
      <c r="D36" s="195"/>
      <c r="E36" s="195"/>
      <c r="F36" s="195"/>
      <c r="G36" s="195"/>
      <c r="H36" s="195"/>
      <c r="I36" s="195"/>
    </row>
    <row r="37" spans="3:9" x14ac:dyDescent="0.2">
      <c r="C37" s="77"/>
      <c r="D37" s="77"/>
      <c r="E37" s="77"/>
      <c r="F37" s="77"/>
      <c r="G37" s="77"/>
      <c r="H37" s="77"/>
      <c r="I37" s="77"/>
    </row>
  </sheetData>
  <mergeCells count="2">
    <mergeCell ref="B10:H11"/>
    <mergeCell ref="C36:I36"/>
  </mergeCells>
  <hyperlinks>
    <hyperlink ref="B1" location="Sommaire!A1" display="Retour au sommaire"/>
  </hyperlinks>
  <pageMargins left="0.7" right="0.7" top="0.75" bottom="0.75" header="0.3" footer="0.3"/>
  <pageSetup paperSize="9" scale="7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U40"/>
  <sheetViews>
    <sheetView showGridLines="0" topLeftCell="A3" zoomScaleNormal="100" workbookViewId="0">
      <selection activeCell="K17" sqref="K17"/>
    </sheetView>
  </sheetViews>
  <sheetFormatPr baseColWidth="10" defaultColWidth="11.5703125" defaultRowHeight="12" x14ac:dyDescent="0.2"/>
  <cols>
    <col min="1" max="1" width="2.85546875" style="1" customWidth="1"/>
    <col min="2" max="2" width="27.7109375" style="1" customWidth="1"/>
    <col min="3" max="16384" width="11.5703125" style="1"/>
  </cols>
  <sheetData>
    <row r="1" spans="2:18" ht="15" x14ac:dyDescent="0.25">
      <c r="B1" s="112" t="s">
        <v>304</v>
      </c>
    </row>
    <row r="2" spans="2:18" s="42" customFormat="1" ht="31.15" customHeight="1" x14ac:dyDescent="0.25">
      <c r="B2" s="61" t="s">
        <v>14</v>
      </c>
      <c r="C2" s="129"/>
      <c r="D2" s="129"/>
      <c r="E2" s="129"/>
      <c r="F2" s="129"/>
      <c r="G2" s="129"/>
      <c r="H2" s="129"/>
      <c r="I2" s="129"/>
      <c r="J2" s="129"/>
      <c r="K2" s="129"/>
      <c r="L2" s="129"/>
      <c r="M2" s="129"/>
    </row>
    <row r="3" spans="2:18" s="20" customFormat="1" ht="25.15" customHeight="1" x14ac:dyDescent="0.25">
      <c r="B3" s="133"/>
      <c r="C3" s="133">
        <v>2010</v>
      </c>
      <c r="D3" s="133">
        <v>2011</v>
      </c>
      <c r="E3" s="133">
        <v>2012</v>
      </c>
      <c r="F3" s="133">
        <v>2013</v>
      </c>
      <c r="G3" s="133">
        <v>2014</v>
      </c>
      <c r="H3" s="133">
        <v>2015</v>
      </c>
      <c r="I3" s="133">
        <v>2016</v>
      </c>
      <c r="J3" s="133">
        <v>2017</v>
      </c>
      <c r="K3" s="133">
        <v>2018</v>
      </c>
      <c r="L3" s="133">
        <v>2019</v>
      </c>
      <c r="M3" s="133" t="s">
        <v>16</v>
      </c>
    </row>
    <row r="4" spans="2:18" s="11" customFormat="1" ht="15.6" customHeight="1" x14ac:dyDescent="0.25">
      <c r="B4" s="12" t="s">
        <v>0</v>
      </c>
      <c r="C4" s="45">
        <v>6008</v>
      </c>
      <c r="D4" s="45">
        <v>13403</v>
      </c>
      <c r="E4" s="45">
        <v>19482</v>
      </c>
      <c r="F4" s="45">
        <v>19946</v>
      </c>
      <c r="G4" s="45">
        <v>21925</v>
      </c>
      <c r="H4" s="45">
        <v>38200</v>
      </c>
      <c r="I4" s="45">
        <v>63044</v>
      </c>
      <c r="J4" s="45">
        <v>79069</v>
      </c>
      <c r="K4" s="45">
        <f>K6+K5</f>
        <v>83925</v>
      </c>
      <c r="L4" s="45">
        <f>L6+L5</f>
        <v>81023</v>
      </c>
      <c r="M4" s="45">
        <f>SUM(C4:L4)</f>
        <v>426025</v>
      </c>
      <c r="N4" s="17"/>
    </row>
    <row r="5" spans="2:18" s="15" customFormat="1" ht="15.6" customHeight="1" x14ac:dyDescent="0.25">
      <c r="B5" s="13" t="s">
        <v>1</v>
      </c>
      <c r="C5" s="14">
        <v>2589</v>
      </c>
      <c r="D5" s="14">
        <v>5670</v>
      </c>
      <c r="E5" s="14">
        <v>8011</v>
      </c>
      <c r="F5" s="14">
        <v>8263</v>
      </c>
      <c r="G5" s="14">
        <v>9271</v>
      </c>
      <c r="H5" s="14">
        <v>15963</v>
      </c>
      <c r="I5" s="14">
        <v>25863</v>
      </c>
      <c r="J5" s="14">
        <v>32272</v>
      </c>
      <c r="K5" s="14">
        <v>33132</v>
      </c>
      <c r="L5" s="14">
        <v>31654</v>
      </c>
      <c r="M5" s="14">
        <f>SUM(C5:L5)</f>
        <v>172688</v>
      </c>
      <c r="O5" s="14"/>
      <c r="P5" s="131"/>
      <c r="Q5" s="131"/>
      <c r="R5" s="131"/>
    </row>
    <row r="6" spans="2:18" s="15" customFormat="1" ht="15.6" customHeight="1" x14ac:dyDescent="0.25">
      <c r="B6" s="13" t="s">
        <v>2</v>
      </c>
      <c r="C6" s="14">
        <v>3419</v>
      </c>
      <c r="D6" s="14">
        <v>7733</v>
      </c>
      <c r="E6" s="14">
        <v>11471</v>
      </c>
      <c r="F6" s="14">
        <v>11683</v>
      </c>
      <c r="G6" s="14">
        <v>12654</v>
      </c>
      <c r="H6" s="14">
        <v>22237</v>
      </c>
      <c r="I6" s="14">
        <v>37181</v>
      </c>
      <c r="J6" s="14">
        <v>46797</v>
      </c>
      <c r="K6" s="14">
        <v>50793</v>
      </c>
      <c r="L6" s="14">
        <v>49369</v>
      </c>
      <c r="M6" s="14">
        <f>SUM(C6:L6)</f>
        <v>253337</v>
      </c>
      <c r="P6" s="131"/>
      <c r="Q6" s="131"/>
      <c r="R6" s="131"/>
    </row>
    <row r="7" spans="2:18" s="11" customFormat="1" ht="15.6" customHeight="1" x14ac:dyDescent="0.25">
      <c r="B7" s="16" t="s">
        <v>13</v>
      </c>
      <c r="C7" s="45">
        <v>6008</v>
      </c>
      <c r="D7" s="45">
        <v>19133</v>
      </c>
      <c r="E7" s="45">
        <v>29884</v>
      </c>
      <c r="F7" s="45">
        <v>33724</v>
      </c>
      <c r="G7" s="45">
        <v>34837</v>
      </c>
      <c r="H7" s="45">
        <v>52402</v>
      </c>
      <c r="I7" s="45">
        <v>91772</v>
      </c>
      <c r="J7" s="45">
        <v>123162</v>
      </c>
      <c r="K7" s="183">
        <v>140202</v>
      </c>
      <c r="L7" s="183">
        <v>140037</v>
      </c>
      <c r="M7" s="183">
        <f>SUM(C7:L7)</f>
        <v>671161</v>
      </c>
      <c r="N7" s="17"/>
      <c r="O7" s="17"/>
      <c r="Q7" s="131"/>
      <c r="R7" s="131"/>
    </row>
    <row r="8" spans="2:18" s="11" customFormat="1" ht="15.6" customHeight="1" x14ac:dyDescent="0.25">
      <c r="B8" s="13" t="s">
        <v>1</v>
      </c>
      <c r="C8" s="14">
        <v>2589</v>
      </c>
      <c r="D8" s="14">
        <v>8131</v>
      </c>
      <c r="E8" s="14">
        <v>12378</v>
      </c>
      <c r="F8" s="14">
        <v>13858</v>
      </c>
      <c r="G8" s="14">
        <v>14481</v>
      </c>
      <c r="H8" s="14">
        <v>21829</v>
      </c>
      <c r="I8" s="14">
        <v>37704</v>
      </c>
      <c r="J8" s="14">
        <v>50337</v>
      </c>
      <c r="K8" s="184">
        <v>56207</v>
      </c>
      <c r="L8" s="184">
        <v>55112</v>
      </c>
      <c r="M8" s="184">
        <f t="shared" ref="M8:M10" si="0">SUM(C8:L8)</f>
        <v>272626</v>
      </c>
      <c r="N8" s="17"/>
      <c r="Q8" s="131"/>
      <c r="R8" s="131"/>
    </row>
    <row r="9" spans="2:18" s="11" customFormat="1" ht="15.6" customHeight="1" x14ac:dyDescent="0.25">
      <c r="B9" s="13" t="s">
        <v>2</v>
      </c>
      <c r="C9" s="14">
        <v>3419</v>
      </c>
      <c r="D9" s="14">
        <v>11002</v>
      </c>
      <c r="E9" s="14">
        <v>17506</v>
      </c>
      <c r="F9" s="14">
        <v>19866</v>
      </c>
      <c r="G9" s="14">
        <v>20356</v>
      </c>
      <c r="H9" s="14">
        <v>30573</v>
      </c>
      <c r="I9" s="14">
        <v>54068</v>
      </c>
      <c r="J9" s="14">
        <v>72825</v>
      </c>
      <c r="K9" s="184">
        <v>83995</v>
      </c>
      <c r="L9" s="184">
        <v>84925</v>
      </c>
      <c r="M9" s="184">
        <f t="shared" si="0"/>
        <v>398535</v>
      </c>
      <c r="N9" s="17"/>
      <c r="O9" s="17"/>
      <c r="Q9" s="131"/>
      <c r="R9" s="131"/>
    </row>
    <row r="10" spans="2:18" s="11" customFormat="1" ht="15.6" customHeight="1" x14ac:dyDescent="0.25">
      <c r="B10" s="134" t="s">
        <v>38</v>
      </c>
      <c r="C10" s="46">
        <v>5776</v>
      </c>
      <c r="D10" s="46">
        <v>10702</v>
      </c>
      <c r="E10" s="46">
        <v>14219</v>
      </c>
      <c r="F10" s="46">
        <v>13446</v>
      </c>
      <c r="G10" s="46">
        <v>14617</v>
      </c>
      <c r="H10" s="46">
        <v>29570</v>
      </c>
      <c r="I10" s="46">
        <v>45223</v>
      </c>
      <c r="J10" s="46">
        <v>57495</v>
      </c>
      <c r="K10" s="185">
        <v>59729</v>
      </c>
      <c r="L10" s="185">
        <v>54924</v>
      </c>
      <c r="M10" s="185">
        <f t="shared" si="0"/>
        <v>305701</v>
      </c>
    </row>
    <row r="11" spans="2:18" s="11" customFormat="1" ht="15.6" customHeight="1" x14ac:dyDescent="0.25">
      <c r="B11" s="12" t="s">
        <v>306</v>
      </c>
      <c r="C11" s="45"/>
      <c r="D11" s="45"/>
      <c r="E11" s="45"/>
      <c r="F11" s="45"/>
      <c r="G11" s="45"/>
      <c r="H11" s="45"/>
      <c r="I11" s="45"/>
      <c r="J11" s="45"/>
      <c r="K11" s="45"/>
      <c r="L11" s="45"/>
      <c r="M11" s="45"/>
      <c r="P11" s="130"/>
      <c r="Q11" s="130"/>
      <c r="R11" s="130"/>
    </row>
    <row r="12" spans="2:18" s="15" customFormat="1" ht="15.6" customHeight="1" x14ac:dyDescent="0.25">
      <c r="B12" s="13" t="s">
        <v>1</v>
      </c>
      <c r="C12" s="14">
        <v>43.09</v>
      </c>
      <c r="D12" s="14">
        <v>42.3</v>
      </c>
      <c r="E12" s="14">
        <v>41.12</v>
      </c>
      <c r="F12" s="14">
        <v>41.43</v>
      </c>
      <c r="G12" s="14">
        <v>42.29</v>
      </c>
      <c r="H12" s="14">
        <v>41.79</v>
      </c>
      <c r="I12" s="14">
        <v>41.01</v>
      </c>
      <c r="J12" s="14">
        <v>40.81</v>
      </c>
      <c r="K12" s="14">
        <f t="shared" ref="K12:M13" si="1">(K5*100)/K$4</f>
        <v>39.478105451295797</v>
      </c>
      <c r="L12" s="14">
        <f t="shared" si="1"/>
        <v>39.067918985966948</v>
      </c>
      <c r="M12" s="14">
        <f t="shared" si="1"/>
        <v>40.534710404318993</v>
      </c>
      <c r="P12" s="130"/>
      <c r="Q12" s="130"/>
      <c r="R12" s="130"/>
    </row>
    <row r="13" spans="2:18" s="15" customFormat="1" ht="15.6" customHeight="1" x14ac:dyDescent="0.25">
      <c r="B13" s="135" t="s">
        <v>2</v>
      </c>
      <c r="C13" s="136">
        <v>56.91</v>
      </c>
      <c r="D13" s="136">
        <v>57.7</v>
      </c>
      <c r="E13" s="136">
        <v>58.88</v>
      </c>
      <c r="F13" s="136">
        <v>58.57</v>
      </c>
      <c r="G13" s="136">
        <v>57.71</v>
      </c>
      <c r="H13" s="136">
        <v>58.21</v>
      </c>
      <c r="I13" s="136">
        <v>58.99</v>
      </c>
      <c r="J13" s="136">
        <v>59.19</v>
      </c>
      <c r="K13" s="136">
        <f t="shared" si="1"/>
        <v>60.521894548704203</v>
      </c>
      <c r="L13" s="136">
        <f t="shared" si="1"/>
        <v>60.932081014033052</v>
      </c>
      <c r="M13" s="136">
        <f t="shared" si="1"/>
        <v>59.465289595681007</v>
      </c>
      <c r="P13" s="130"/>
      <c r="Q13" s="130"/>
    </row>
    <row r="14" spans="2:18" ht="15" x14ac:dyDescent="0.25">
      <c r="B14" s="6" t="s">
        <v>357</v>
      </c>
      <c r="C14" s="4"/>
      <c r="D14" s="4"/>
      <c r="E14" s="4"/>
      <c r="F14" s="4"/>
      <c r="G14" s="4"/>
      <c r="H14" s="4"/>
      <c r="I14" s="4"/>
      <c r="P14" s="130"/>
      <c r="Q14" s="130"/>
    </row>
    <row r="16" spans="2:18" ht="12.75" x14ac:dyDescent="0.2">
      <c r="C16" s="44" t="s">
        <v>14</v>
      </c>
    </row>
    <row r="22" spans="8:21" ht="15.75" x14ac:dyDescent="0.25">
      <c r="H22" s="8"/>
    </row>
    <row r="23" spans="8:21" ht="15" x14ac:dyDescent="0.25">
      <c r="N23" s="132"/>
      <c r="O23" s="132"/>
      <c r="P23" s="132"/>
      <c r="Q23" s="132"/>
      <c r="R23" s="132"/>
    </row>
    <row r="24" spans="8:21" ht="15" x14ac:dyDescent="0.25">
      <c r="N24" s="132"/>
      <c r="O24" s="132"/>
      <c r="P24" s="132"/>
      <c r="Q24" s="132"/>
      <c r="R24" s="132"/>
    </row>
    <row r="25" spans="8:21" ht="15" x14ac:dyDescent="0.25">
      <c r="N25" s="132"/>
      <c r="O25" s="132"/>
      <c r="P25" s="132"/>
      <c r="Q25" s="132"/>
      <c r="R25" s="132"/>
    </row>
    <row r="26" spans="8:21" ht="15" x14ac:dyDescent="0.25">
      <c r="N26" s="132"/>
      <c r="O26" s="132"/>
      <c r="P26" s="132"/>
      <c r="Q26" s="132"/>
      <c r="R26" s="132"/>
    </row>
    <row r="27" spans="8:21" ht="15" x14ac:dyDescent="0.25">
      <c r="N27" s="132"/>
      <c r="O27" s="132"/>
      <c r="P27" s="132"/>
      <c r="Q27" s="132"/>
      <c r="R27" s="132"/>
    </row>
    <row r="28" spans="8:21" ht="15" x14ac:dyDescent="0.25">
      <c r="N28" s="132"/>
      <c r="O28" s="132"/>
      <c r="P28" s="132"/>
      <c r="Q28" s="132"/>
      <c r="R28" s="132"/>
    </row>
    <row r="29" spans="8:21" ht="17.45" customHeight="1" x14ac:dyDescent="0.25">
      <c r="N29" s="132"/>
      <c r="O29" s="132"/>
      <c r="P29" s="132"/>
      <c r="Q29" s="132"/>
      <c r="R29" s="132"/>
    </row>
    <row r="30" spans="8:21" ht="17.45" customHeight="1" x14ac:dyDescent="0.25">
      <c r="N30" s="132"/>
      <c r="O30" s="132"/>
      <c r="P30" s="132"/>
      <c r="Q30" s="132"/>
      <c r="R30" s="132"/>
    </row>
    <row r="31" spans="8:21" ht="15" x14ac:dyDescent="0.25">
      <c r="N31" s="132"/>
      <c r="O31" s="132"/>
      <c r="P31" s="132"/>
      <c r="Q31" s="132"/>
      <c r="R31" s="132"/>
      <c r="S31" s="132"/>
      <c r="T31" s="132"/>
      <c r="U31" s="132"/>
    </row>
    <row r="32" spans="8:21" ht="15" x14ac:dyDescent="0.25">
      <c r="N32" s="132"/>
      <c r="O32" s="132"/>
      <c r="P32" s="132"/>
      <c r="Q32" s="132"/>
      <c r="R32" s="132"/>
      <c r="S32" s="132"/>
      <c r="T32" s="132"/>
      <c r="U32" s="132"/>
    </row>
    <row r="33" spans="3:21" ht="15" x14ac:dyDescent="0.25">
      <c r="N33" s="132"/>
      <c r="O33" s="132"/>
      <c r="P33" s="132"/>
      <c r="Q33" s="132"/>
      <c r="R33" s="132"/>
      <c r="S33" s="132"/>
      <c r="T33" s="132"/>
      <c r="U33" s="132"/>
    </row>
    <row r="35" spans="3:21" ht="15" x14ac:dyDescent="0.25">
      <c r="N35" s="132"/>
      <c r="O35" s="132"/>
      <c r="P35" s="132"/>
      <c r="Q35" s="132"/>
      <c r="R35" s="132"/>
      <c r="S35" s="132"/>
      <c r="T35" s="132"/>
      <c r="U35" s="132"/>
    </row>
    <row r="36" spans="3:21" ht="15" x14ac:dyDescent="0.25">
      <c r="N36" s="132"/>
      <c r="O36" s="132"/>
      <c r="P36" s="132"/>
      <c r="Q36" s="132"/>
      <c r="R36" s="132"/>
      <c r="S36" s="132"/>
      <c r="T36" s="132"/>
      <c r="U36" s="132"/>
    </row>
    <row r="37" spans="3:21" x14ac:dyDescent="0.2">
      <c r="C37" s="6" t="s">
        <v>357</v>
      </c>
    </row>
    <row r="38" spans="3:21" x14ac:dyDescent="0.2">
      <c r="C38" s="194" t="s">
        <v>333</v>
      </c>
      <c r="D38" s="194"/>
      <c r="E38" s="194"/>
      <c r="F38" s="194"/>
      <c r="G38" s="194"/>
      <c r="H38" s="194"/>
      <c r="I38" s="194"/>
    </row>
    <row r="39" spans="3:21" x14ac:dyDescent="0.2">
      <c r="C39" s="194"/>
      <c r="D39" s="194"/>
      <c r="E39" s="194"/>
      <c r="F39" s="194"/>
      <c r="G39" s="194"/>
      <c r="H39" s="194"/>
      <c r="I39" s="194"/>
    </row>
    <row r="40" spans="3:21" ht="12" customHeight="1" x14ac:dyDescent="0.2"/>
  </sheetData>
  <mergeCells count="1">
    <mergeCell ref="C38:I39"/>
  </mergeCells>
  <hyperlinks>
    <hyperlink ref="B1" location="Sommaire!A1" display="Retour au sommaire"/>
  </hyperlink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S47"/>
  <sheetViews>
    <sheetView showGridLines="0" zoomScaleNormal="100" workbookViewId="0">
      <selection activeCell="M34" sqref="M34"/>
    </sheetView>
  </sheetViews>
  <sheetFormatPr baseColWidth="10" defaultRowHeight="15" x14ac:dyDescent="0.25"/>
  <cols>
    <col min="1" max="1" width="2.85546875" style="95" customWidth="1"/>
    <col min="7" max="7" width="11.42578125" style="147"/>
    <col min="8" max="9" width="5.5703125" style="147" customWidth="1"/>
    <col min="10" max="10" width="11.42578125" style="146"/>
  </cols>
  <sheetData>
    <row r="1" spans="2:12" s="95" customFormat="1" x14ac:dyDescent="0.25">
      <c r="B1" s="112" t="s">
        <v>304</v>
      </c>
      <c r="G1" s="147"/>
      <c r="H1" s="147"/>
      <c r="I1" s="147"/>
      <c r="J1" s="146"/>
    </row>
    <row r="2" spans="2:12" s="42" customFormat="1" ht="24" customHeight="1" x14ac:dyDescent="0.25">
      <c r="B2" s="41" t="s">
        <v>66</v>
      </c>
      <c r="C2" s="41"/>
      <c r="K2" s="127"/>
    </row>
    <row r="3" spans="2:12" s="33" customFormat="1" x14ac:dyDescent="0.25">
      <c r="B3" s="32"/>
      <c r="C3" s="32"/>
      <c r="D3" s="22" t="s">
        <v>1</v>
      </c>
      <c r="E3" s="22" t="s">
        <v>2</v>
      </c>
      <c r="F3" s="22" t="s">
        <v>16</v>
      </c>
      <c r="G3" s="47"/>
      <c r="H3" s="148"/>
      <c r="I3" s="148"/>
      <c r="J3" s="22" t="s">
        <v>309</v>
      </c>
      <c r="K3" s="148"/>
    </row>
    <row r="4" spans="2:12" s="33" customFormat="1" x14ac:dyDescent="0.2">
      <c r="B4" s="1">
        <v>2010</v>
      </c>
      <c r="C4" s="1" t="s">
        <v>67</v>
      </c>
      <c r="D4" s="47"/>
      <c r="E4" s="47"/>
      <c r="F4" s="47"/>
      <c r="G4" s="47"/>
      <c r="H4" s="1">
        <v>2010</v>
      </c>
      <c r="I4" s="1" t="s">
        <v>67</v>
      </c>
      <c r="K4" s="47"/>
    </row>
    <row r="5" spans="2:12" x14ac:dyDescent="0.25">
      <c r="B5" s="1"/>
      <c r="C5" s="1" t="s">
        <v>68</v>
      </c>
      <c r="D5" s="2">
        <v>23</v>
      </c>
      <c r="E5" s="2">
        <v>34</v>
      </c>
      <c r="F5" s="2">
        <v>57</v>
      </c>
      <c r="G5" s="2"/>
      <c r="H5" s="1"/>
      <c r="I5" s="1" t="s">
        <v>68</v>
      </c>
      <c r="J5" s="2">
        <v>56</v>
      </c>
      <c r="K5" s="2"/>
      <c r="L5" s="44" t="s">
        <v>57</v>
      </c>
    </row>
    <row r="6" spans="2:12" x14ac:dyDescent="0.25">
      <c r="B6" s="1"/>
      <c r="C6" s="1" t="s">
        <v>69</v>
      </c>
      <c r="D6" s="2">
        <v>486</v>
      </c>
      <c r="E6" s="2">
        <v>728</v>
      </c>
      <c r="F6" s="2">
        <v>1214</v>
      </c>
      <c r="G6" s="2"/>
      <c r="H6" s="1"/>
      <c r="I6" s="1" t="s">
        <v>69</v>
      </c>
      <c r="J6" s="2">
        <v>1238</v>
      </c>
      <c r="K6" s="2"/>
    </row>
    <row r="7" spans="2:12" x14ac:dyDescent="0.25">
      <c r="B7" s="1"/>
      <c r="C7" s="1" t="s">
        <v>70</v>
      </c>
      <c r="D7" s="2">
        <v>2080</v>
      </c>
      <c r="E7" s="2">
        <v>2657</v>
      </c>
      <c r="F7" s="2">
        <v>4737</v>
      </c>
      <c r="G7" s="2"/>
      <c r="H7" s="1"/>
      <c r="I7" s="1" t="s">
        <v>70</v>
      </c>
      <c r="J7" s="2">
        <v>4984</v>
      </c>
      <c r="K7" s="2"/>
    </row>
    <row r="8" spans="2:12" x14ac:dyDescent="0.25">
      <c r="B8" s="1">
        <v>2011</v>
      </c>
      <c r="C8" s="1" t="s">
        <v>67</v>
      </c>
      <c r="D8" s="2">
        <v>1015</v>
      </c>
      <c r="E8" s="2">
        <v>1221</v>
      </c>
      <c r="F8" s="2">
        <v>2236</v>
      </c>
      <c r="G8" s="2"/>
      <c r="H8" s="1">
        <v>2011</v>
      </c>
      <c r="I8" s="1" t="s">
        <v>67</v>
      </c>
      <c r="J8" s="2">
        <v>7255</v>
      </c>
      <c r="K8" s="2"/>
    </row>
    <row r="9" spans="2:12" x14ac:dyDescent="0.25">
      <c r="B9" s="1"/>
      <c r="C9" s="1" t="s">
        <v>68</v>
      </c>
      <c r="D9" s="2">
        <v>740</v>
      </c>
      <c r="E9" s="2">
        <v>849</v>
      </c>
      <c r="F9" s="2">
        <v>1589</v>
      </c>
      <c r="G9" s="2"/>
      <c r="H9" s="1"/>
      <c r="I9" s="1" t="s">
        <v>68</v>
      </c>
      <c r="J9" s="2">
        <v>6509</v>
      </c>
      <c r="K9" s="2"/>
    </row>
    <row r="10" spans="2:12" x14ac:dyDescent="0.25">
      <c r="B10" s="1"/>
      <c r="C10" s="1" t="s">
        <v>69</v>
      </c>
      <c r="D10" s="2">
        <v>1189</v>
      </c>
      <c r="E10" s="2">
        <v>1884</v>
      </c>
      <c r="F10" s="2">
        <v>3073</v>
      </c>
      <c r="G10" s="2"/>
      <c r="H10" s="1"/>
      <c r="I10" s="1" t="s">
        <v>69</v>
      </c>
      <c r="J10" s="2">
        <v>6128</v>
      </c>
      <c r="K10" s="2"/>
    </row>
    <row r="11" spans="2:12" x14ac:dyDescent="0.25">
      <c r="B11" s="1"/>
      <c r="C11" s="1" t="s">
        <v>70</v>
      </c>
      <c r="D11" s="2">
        <v>2726</v>
      </c>
      <c r="E11" s="2">
        <v>3779</v>
      </c>
      <c r="F11" s="2">
        <v>6505</v>
      </c>
      <c r="G11" s="2"/>
      <c r="H11" s="1"/>
      <c r="I11" s="1" t="s">
        <v>70</v>
      </c>
      <c r="J11" s="2">
        <v>10071</v>
      </c>
      <c r="K11" s="2"/>
    </row>
    <row r="12" spans="2:12" x14ac:dyDescent="0.25">
      <c r="B12" s="1">
        <v>2012</v>
      </c>
      <c r="C12" s="1" t="s">
        <v>67</v>
      </c>
      <c r="D12" s="2">
        <v>1660</v>
      </c>
      <c r="E12" s="2">
        <v>2340</v>
      </c>
      <c r="F12" s="2">
        <v>4000</v>
      </c>
      <c r="G12" s="2"/>
      <c r="H12" s="1">
        <v>2012</v>
      </c>
      <c r="I12" s="1" t="s">
        <v>67</v>
      </c>
      <c r="J12" s="2">
        <v>12272</v>
      </c>
      <c r="K12" s="2"/>
    </row>
    <row r="13" spans="2:12" x14ac:dyDescent="0.25">
      <c r="B13" s="1"/>
      <c r="C13" s="1" t="s">
        <v>68</v>
      </c>
      <c r="D13" s="2">
        <v>1162</v>
      </c>
      <c r="E13" s="2">
        <v>1433</v>
      </c>
      <c r="F13" s="2">
        <v>2595</v>
      </c>
      <c r="G13" s="2"/>
      <c r="H13" s="1"/>
      <c r="I13" s="1" t="s">
        <v>68</v>
      </c>
      <c r="J13" s="2">
        <v>10445</v>
      </c>
      <c r="K13" s="2"/>
    </row>
    <row r="14" spans="2:12" x14ac:dyDescent="0.25">
      <c r="B14" s="1"/>
      <c r="C14" s="1" t="s">
        <v>69</v>
      </c>
      <c r="D14" s="2">
        <v>1807</v>
      </c>
      <c r="E14" s="2">
        <v>2812</v>
      </c>
      <c r="F14" s="2">
        <v>4619</v>
      </c>
      <c r="G14" s="2"/>
      <c r="H14" s="1"/>
      <c r="I14" s="1" t="s">
        <v>69</v>
      </c>
      <c r="J14" s="2">
        <v>8842</v>
      </c>
      <c r="K14" s="2"/>
    </row>
    <row r="15" spans="2:12" x14ac:dyDescent="0.25">
      <c r="B15" s="1"/>
      <c r="C15" s="1" t="s">
        <v>70</v>
      </c>
      <c r="D15" s="2">
        <v>3382</v>
      </c>
      <c r="E15" s="2">
        <v>4886</v>
      </c>
      <c r="F15" s="2">
        <v>8268</v>
      </c>
      <c r="G15" s="2"/>
      <c r="H15" s="1"/>
      <c r="I15" s="1" t="s">
        <v>70</v>
      </c>
      <c r="J15" s="2">
        <v>13442</v>
      </c>
      <c r="K15" s="2"/>
    </row>
    <row r="16" spans="2:12" x14ac:dyDescent="0.25">
      <c r="B16" s="1">
        <v>2013</v>
      </c>
      <c r="C16" s="1" t="s">
        <v>67</v>
      </c>
      <c r="D16" s="2">
        <v>1859</v>
      </c>
      <c r="E16" s="2">
        <v>2456</v>
      </c>
      <c r="F16" s="2">
        <v>4315</v>
      </c>
      <c r="G16" s="2"/>
      <c r="H16" s="1">
        <v>2013</v>
      </c>
      <c r="I16" s="1" t="s">
        <v>67</v>
      </c>
      <c r="J16" s="2">
        <v>15106</v>
      </c>
      <c r="K16" s="2"/>
    </row>
    <row r="17" spans="2:19" x14ac:dyDescent="0.25">
      <c r="B17" s="1"/>
      <c r="C17" s="1" t="s">
        <v>68</v>
      </c>
      <c r="D17" s="2">
        <v>1257</v>
      </c>
      <c r="E17" s="2">
        <v>1669</v>
      </c>
      <c r="F17" s="2">
        <v>2926</v>
      </c>
      <c r="G17" s="2"/>
      <c r="H17" s="1"/>
      <c r="I17" s="1" t="s">
        <v>68</v>
      </c>
      <c r="J17" s="2">
        <v>11825</v>
      </c>
      <c r="K17" s="2"/>
    </row>
    <row r="18" spans="2:19" x14ac:dyDescent="0.25">
      <c r="B18" s="1"/>
      <c r="C18" s="1" t="s">
        <v>69</v>
      </c>
      <c r="D18" s="2">
        <v>2244</v>
      </c>
      <c r="E18" s="2">
        <v>3101</v>
      </c>
      <c r="F18" s="2">
        <v>5345</v>
      </c>
      <c r="G18" s="2"/>
      <c r="H18" s="1"/>
      <c r="I18" s="1" t="s">
        <v>69</v>
      </c>
      <c r="J18" s="2">
        <v>9260</v>
      </c>
      <c r="K18" s="2"/>
    </row>
    <row r="19" spans="2:19" x14ac:dyDescent="0.25">
      <c r="B19" s="1"/>
      <c r="C19" s="1" t="s">
        <v>70</v>
      </c>
      <c r="D19" s="2">
        <v>2903</v>
      </c>
      <c r="E19" s="2">
        <v>4457</v>
      </c>
      <c r="F19" s="2">
        <v>7360</v>
      </c>
      <c r="G19" s="2"/>
      <c r="H19" s="1"/>
      <c r="I19" s="1" t="s">
        <v>70</v>
      </c>
      <c r="J19" s="2">
        <v>12747</v>
      </c>
      <c r="K19" s="2"/>
    </row>
    <row r="20" spans="2:19" x14ac:dyDescent="0.25">
      <c r="B20" s="1">
        <v>2014</v>
      </c>
      <c r="C20" s="1" t="s">
        <v>67</v>
      </c>
      <c r="D20" s="2">
        <v>2083</v>
      </c>
      <c r="E20" s="2">
        <v>2539</v>
      </c>
      <c r="F20" s="2">
        <v>4622</v>
      </c>
      <c r="G20" s="2"/>
      <c r="H20" s="1">
        <v>2014</v>
      </c>
      <c r="I20" s="1" t="s">
        <v>67</v>
      </c>
      <c r="J20" s="2">
        <v>13849</v>
      </c>
      <c r="K20" s="2"/>
    </row>
    <row r="21" spans="2:19" x14ac:dyDescent="0.25">
      <c r="B21" s="1"/>
      <c r="C21" s="1" t="s">
        <v>68</v>
      </c>
      <c r="D21" s="2">
        <v>1259</v>
      </c>
      <c r="E21" s="2">
        <v>1723</v>
      </c>
      <c r="F21" s="2">
        <v>2982</v>
      </c>
      <c r="G21" s="2"/>
      <c r="H21" s="1"/>
      <c r="I21" s="1" t="s">
        <v>68</v>
      </c>
      <c r="J21" s="2">
        <v>9784</v>
      </c>
      <c r="K21" s="2"/>
    </row>
    <row r="22" spans="2:19" x14ac:dyDescent="0.25">
      <c r="B22" s="1"/>
      <c r="C22" s="1" t="s">
        <v>69</v>
      </c>
      <c r="D22" s="2">
        <v>2106</v>
      </c>
      <c r="E22" s="2">
        <v>3001</v>
      </c>
      <c r="F22" s="2">
        <v>5107</v>
      </c>
      <c r="G22" s="2"/>
      <c r="H22" s="1"/>
      <c r="I22" s="1" t="s">
        <v>69</v>
      </c>
      <c r="J22" s="2">
        <v>8218</v>
      </c>
      <c r="K22" s="2"/>
    </row>
    <row r="23" spans="2:19" x14ac:dyDescent="0.25">
      <c r="B23" s="1"/>
      <c r="C23" s="1" t="s">
        <v>70</v>
      </c>
      <c r="D23" s="2">
        <v>3823</v>
      </c>
      <c r="E23" s="2">
        <v>5391</v>
      </c>
      <c r="F23" s="2">
        <v>9214</v>
      </c>
      <c r="G23" s="2"/>
      <c r="H23" s="1"/>
      <c r="I23" s="1" t="s">
        <v>70</v>
      </c>
      <c r="J23" s="2">
        <v>13871</v>
      </c>
      <c r="K23" s="2"/>
      <c r="L23" s="6" t="s">
        <v>357</v>
      </c>
    </row>
    <row r="24" spans="2:19" ht="15" customHeight="1" x14ac:dyDescent="0.25">
      <c r="B24" s="1">
        <v>2015</v>
      </c>
      <c r="C24" s="1" t="s">
        <v>67</v>
      </c>
      <c r="D24" s="2">
        <v>2130</v>
      </c>
      <c r="E24" s="2">
        <v>2605</v>
      </c>
      <c r="F24" s="2">
        <v>4735</v>
      </c>
      <c r="G24" s="2"/>
      <c r="H24" s="1">
        <v>2015</v>
      </c>
      <c r="I24" s="1" t="s">
        <v>67</v>
      </c>
      <c r="J24" s="2">
        <v>15748</v>
      </c>
      <c r="K24" s="2"/>
      <c r="L24" s="195" t="s">
        <v>334</v>
      </c>
      <c r="M24" s="195"/>
      <c r="N24" s="195"/>
      <c r="O24" s="195"/>
      <c r="P24" s="195"/>
      <c r="Q24" s="195"/>
      <c r="R24" s="195"/>
      <c r="S24" s="195"/>
    </row>
    <row r="25" spans="2:19" x14ac:dyDescent="0.25">
      <c r="B25" s="1"/>
      <c r="C25" s="1" t="s">
        <v>68</v>
      </c>
      <c r="D25" s="2">
        <v>1727</v>
      </c>
      <c r="E25" s="2">
        <v>2350</v>
      </c>
      <c r="F25" s="2">
        <v>4077</v>
      </c>
      <c r="G25" s="2"/>
      <c r="H25" s="1"/>
      <c r="I25" s="1" t="s">
        <v>68</v>
      </c>
      <c r="J25" s="2">
        <v>11235</v>
      </c>
      <c r="K25" s="2"/>
      <c r="L25" s="195"/>
      <c r="M25" s="195"/>
      <c r="N25" s="195"/>
      <c r="O25" s="195"/>
      <c r="P25" s="195"/>
      <c r="Q25" s="195"/>
      <c r="R25" s="195"/>
      <c r="S25" s="195"/>
    </row>
    <row r="26" spans="2:19" x14ac:dyDescent="0.25">
      <c r="B26" s="1"/>
      <c r="C26" s="1" t="s">
        <v>69</v>
      </c>
      <c r="D26" s="2">
        <v>3757</v>
      </c>
      <c r="E26" s="2">
        <v>5331</v>
      </c>
      <c r="F26" s="2">
        <v>9088</v>
      </c>
      <c r="G26" s="2"/>
      <c r="H26" s="1"/>
      <c r="I26" s="1" t="s">
        <v>69</v>
      </c>
      <c r="J26" s="2">
        <v>13087</v>
      </c>
      <c r="K26" s="2"/>
    </row>
    <row r="27" spans="2:19" x14ac:dyDescent="0.25">
      <c r="B27" s="1"/>
      <c r="C27" s="1" t="s">
        <v>70</v>
      </c>
      <c r="D27" s="2">
        <v>8349</v>
      </c>
      <c r="E27" s="2">
        <v>11951</v>
      </c>
      <c r="F27" s="2">
        <v>20300</v>
      </c>
      <c r="G27" s="2"/>
      <c r="H27" s="1"/>
      <c r="I27" s="1" t="s">
        <v>70</v>
      </c>
      <c r="J27" s="2">
        <v>28247</v>
      </c>
      <c r="K27" s="2"/>
    </row>
    <row r="28" spans="2:19" x14ac:dyDescent="0.25">
      <c r="B28" s="1">
        <v>2016</v>
      </c>
      <c r="C28" s="1" t="s">
        <v>67</v>
      </c>
      <c r="D28" s="2">
        <v>4473</v>
      </c>
      <c r="E28" s="2">
        <v>6185</v>
      </c>
      <c r="F28" s="2">
        <v>10658</v>
      </c>
      <c r="G28" s="2"/>
      <c r="H28" s="1">
        <v>2016</v>
      </c>
      <c r="I28" s="1" t="s">
        <v>67</v>
      </c>
      <c r="J28" s="2">
        <v>33911</v>
      </c>
      <c r="K28" s="2"/>
    </row>
    <row r="29" spans="2:19" x14ac:dyDescent="0.25">
      <c r="B29" s="1"/>
      <c r="C29" s="1" t="s">
        <v>68</v>
      </c>
      <c r="D29" s="2">
        <v>3440</v>
      </c>
      <c r="E29" s="2">
        <v>4843</v>
      </c>
      <c r="F29" s="2">
        <v>8283</v>
      </c>
      <c r="G29" s="2"/>
      <c r="H29" s="1"/>
      <c r="I29" s="1" t="s">
        <v>68</v>
      </c>
      <c r="J29" s="2">
        <v>23946</v>
      </c>
      <c r="K29" s="2"/>
    </row>
    <row r="30" spans="2:19" x14ac:dyDescent="0.25">
      <c r="B30" s="1"/>
      <c r="C30" s="1" t="s">
        <v>69</v>
      </c>
      <c r="D30" s="2">
        <v>5751</v>
      </c>
      <c r="E30" s="2">
        <v>8454</v>
      </c>
      <c r="F30" s="2">
        <v>14205</v>
      </c>
      <c r="G30" s="2"/>
      <c r="H30" s="1"/>
      <c r="I30" s="1" t="s">
        <v>69</v>
      </c>
      <c r="J30" s="2">
        <v>22242</v>
      </c>
      <c r="K30" s="2"/>
    </row>
    <row r="31" spans="2:19" x14ac:dyDescent="0.25">
      <c r="B31" s="1"/>
      <c r="C31" s="1" t="s">
        <v>70</v>
      </c>
      <c r="D31" s="81">
        <v>12199</v>
      </c>
      <c r="E31" s="81">
        <v>17699</v>
      </c>
      <c r="F31" s="81">
        <v>29898</v>
      </c>
      <c r="G31" s="81"/>
      <c r="H31" s="1"/>
      <c r="I31" s="1" t="s">
        <v>70</v>
      </c>
      <c r="J31" s="81">
        <v>43382</v>
      </c>
      <c r="K31" s="81"/>
    </row>
    <row r="32" spans="2:19" x14ac:dyDescent="0.25">
      <c r="B32" s="1">
        <v>2017</v>
      </c>
      <c r="C32" s="1" t="s">
        <v>67</v>
      </c>
      <c r="D32" s="2">
        <v>5476</v>
      </c>
      <c r="E32" s="2">
        <v>7858</v>
      </c>
      <c r="F32" s="2">
        <v>13334</v>
      </c>
      <c r="G32" s="2"/>
      <c r="H32" s="1">
        <v>2017</v>
      </c>
      <c r="I32" s="1" t="s">
        <v>67</v>
      </c>
      <c r="J32" s="2">
        <v>48296</v>
      </c>
      <c r="K32" s="2"/>
      <c r="L32" s="5"/>
      <c r="N32" s="5"/>
    </row>
    <row r="33" spans="2:13" x14ac:dyDescent="0.25">
      <c r="B33" s="1"/>
      <c r="C33" s="1" t="s">
        <v>68</v>
      </c>
      <c r="D33" s="2">
        <v>3772</v>
      </c>
      <c r="E33" s="2">
        <v>5549</v>
      </c>
      <c r="F33" s="2">
        <v>9321</v>
      </c>
      <c r="G33" s="2"/>
      <c r="H33" s="1"/>
      <c r="I33" s="1" t="s">
        <v>68</v>
      </c>
      <c r="J33" s="2">
        <v>32084</v>
      </c>
      <c r="K33" s="2"/>
    </row>
    <row r="34" spans="2:13" x14ac:dyDescent="0.25">
      <c r="B34" s="1"/>
      <c r="C34" s="1" t="s">
        <v>69</v>
      </c>
      <c r="D34" s="2">
        <v>7040</v>
      </c>
      <c r="E34" s="2">
        <v>9480</v>
      </c>
      <c r="F34" s="2">
        <v>16520</v>
      </c>
      <c r="G34" s="2"/>
      <c r="H34" s="1"/>
      <c r="I34" s="1" t="s">
        <v>69</v>
      </c>
      <c r="J34" s="2">
        <v>26697</v>
      </c>
      <c r="K34" s="2"/>
    </row>
    <row r="35" spans="2:13" x14ac:dyDescent="0.25">
      <c r="B35" s="1"/>
      <c r="C35" s="1" t="s">
        <v>70</v>
      </c>
      <c r="D35" s="2">
        <v>15984</v>
      </c>
      <c r="E35" s="2">
        <v>23910</v>
      </c>
      <c r="F35" s="2">
        <v>39894</v>
      </c>
      <c r="G35" s="2"/>
      <c r="H35" s="1"/>
      <c r="I35" s="1" t="s">
        <v>70</v>
      </c>
      <c r="J35" s="2">
        <v>55784</v>
      </c>
      <c r="K35" s="2"/>
    </row>
    <row r="36" spans="2:13" s="161" customFormat="1" x14ac:dyDescent="0.25">
      <c r="B36" s="1">
        <v>2018</v>
      </c>
      <c r="C36" s="1" t="s">
        <v>67</v>
      </c>
      <c r="D36" s="2">
        <v>5995</v>
      </c>
      <c r="E36" s="2">
        <v>9289</v>
      </c>
      <c r="F36" s="2">
        <f>SUM(D36:E36)</f>
        <v>15284</v>
      </c>
      <c r="G36" s="2"/>
      <c r="H36" s="1">
        <v>2018</v>
      </c>
      <c r="I36" s="1" t="s">
        <v>67</v>
      </c>
      <c r="J36" s="2">
        <v>62533</v>
      </c>
      <c r="K36" s="2"/>
    </row>
    <row r="37" spans="2:13" s="161" customFormat="1" x14ac:dyDescent="0.25">
      <c r="B37" s="1"/>
      <c r="C37" s="1" t="s">
        <v>68</v>
      </c>
      <c r="D37" s="2">
        <v>3696</v>
      </c>
      <c r="E37" s="2">
        <v>5499</v>
      </c>
      <c r="F37" s="2">
        <f t="shared" ref="F37:F43" si="0">SUM(D37:E37)</f>
        <v>9195</v>
      </c>
      <c r="G37" s="2"/>
      <c r="H37" s="1"/>
      <c r="I37" s="1" t="s">
        <v>68</v>
      </c>
      <c r="J37" s="182">
        <v>50143</v>
      </c>
      <c r="K37" s="2"/>
      <c r="M37" s="5"/>
    </row>
    <row r="38" spans="2:13" s="161" customFormat="1" x14ac:dyDescent="0.25">
      <c r="B38" s="1"/>
      <c r="C38" s="1" t="s">
        <v>69</v>
      </c>
      <c r="D38" s="2">
        <v>7927</v>
      </c>
      <c r="E38" s="2">
        <v>11673</v>
      </c>
      <c r="F38" s="2">
        <f t="shared" si="0"/>
        <v>19600</v>
      </c>
      <c r="G38" s="2"/>
      <c r="H38" s="1"/>
      <c r="I38" s="1" t="s">
        <v>69</v>
      </c>
      <c r="J38" s="182">
        <v>31542</v>
      </c>
      <c r="K38" s="2"/>
    </row>
    <row r="39" spans="2:13" s="161" customFormat="1" x14ac:dyDescent="0.25">
      <c r="B39" s="1"/>
      <c r="C39" s="1" t="s">
        <v>70</v>
      </c>
      <c r="D39" s="81">
        <v>15514</v>
      </c>
      <c r="E39" s="81">
        <v>24332</v>
      </c>
      <c r="F39" s="2">
        <f t="shared" si="0"/>
        <v>39846</v>
      </c>
      <c r="G39" s="2"/>
      <c r="H39" s="1"/>
      <c r="I39" s="1" t="s">
        <v>70</v>
      </c>
      <c r="J39" s="182">
        <v>59729</v>
      </c>
      <c r="K39" s="2"/>
    </row>
    <row r="40" spans="2:13" s="161" customFormat="1" x14ac:dyDescent="0.25">
      <c r="B40" s="1">
        <v>2019</v>
      </c>
      <c r="C40" s="1" t="s">
        <v>67</v>
      </c>
      <c r="D40" s="2">
        <v>6373</v>
      </c>
      <c r="E40" s="2">
        <v>10475</v>
      </c>
      <c r="F40" s="2">
        <f t="shared" si="0"/>
        <v>16848</v>
      </c>
      <c r="G40" s="2"/>
      <c r="H40" s="1">
        <v>2019</v>
      </c>
      <c r="I40" s="1" t="s">
        <v>67</v>
      </c>
      <c r="J40" s="182">
        <v>65988</v>
      </c>
      <c r="K40" s="2"/>
    </row>
    <row r="41" spans="2:13" s="161" customFormat="1" x14ac:dyDescent="0.25">
      <c r="B41" s="1"/>
      <c r="C41" s="1" t="s">
        <v>68</v>
      </c>
      <c r="D41" s="2">
        <v>3852</v>
      </c>
      <c r="E41" s="2">
        <v>5717</v>
      </c>
      <c r="F41" s="2">
        <f t="shared" si="0"/>
        <v>9569</v>
      </c>
      <c r="G41" s="2"/>
      <c r="H41" s="1"/>
      <c r="I41" s="1" t="s">
        <v>68</v>
      </c>
      <c r="J41" s="182">
        <v>51310</v>
      </c>
      <c r="K41" s="2"/>
    </row>
    <row r="42" spans="2:13" s="161" customFormat="1" x14ac:dyDescent="0.25">
      <c r="B42" s="1"/>
      <c r="C42" s="1" t="s">
        <v>69</v>
      </c>
      <c r="D42" s="2">
        <v>7050</v>
      </c>
      <c r="E42" s="2">
        <v>11392</v>
      </c>
      <c r="F42" s="2">
        <f t="shared" si="0"/>
        <v>18442</v>
      </c>
      <c r="G42" s="2"/>
      <c r="H42" s="1"/>
      <c r="I42" s="1" t="s">
        <v>69</v>
      </c>
      <c r="J42" s="182">
        <v>29476</v>
      </c>
      <c r="K42" s="2"/>
    </row>
    <row r="43" spans="2:13" s="161" customFormat="1" x14ac:dyDescent="0.25">
      <c r="B43" s="1"/>
      <c r="C43" s="1" t="s">
        <v>70</v>
      </c>
      <c r="D43" s="2">
        <v>14379</v>
      </c>
      <c r="E43" s="2">
        <v>21785</v>
      </c>
      <c r="F43" s="2">
        <f t="shared" si="0"/>
        <v>36164</v>
      </c>
      <c r="G43" s="2"/>
      <c r="H43" s="1"/>
      <c r="I43" s="1" t="s">
        <v>70</v>
      </c>
      <c r="J43" s="182">
        <v>54924</v>
      </c>
      <c r="K43" s="2"/>
    </row>
    <row r="44" spans="2:13" x14ac:dyDescent="0.25">
      <c r="B44" s="30" t="s">
        <v>53</v>
      </c>
      <c r="C44" s="30" t="s">
        <v>53</v>
      </c>
      <c r="D44" s="31">
        <f>SUM(D5:D43)</f>
        <v>172688</v>
      </c>
      <c r="E44" s="31">
        <f>SUM(E5:E43)</f>
        <v>253337</v>
      </c>
      <c r="F44" s="31">
        <f>SUM(F5:F43)</f>
        <v>426025</v>
      </c>
      <c r="G44" s="145"/>
      <c r="H44" s="145"/>
      <c r="I44" s="145"/>
      <c r="J44" s="145"/>
    </row>
    <row r="45" spans="2:13" x14ac:dyDescent="0.25">
      <c r="B45" s="6" t="s">
        <v>357</v>
      </c>
      <c r="C45" s="6"/>
    </row>
    <row r="46" spans="2:13" x14ac:dyDescent="0.25">
      <c r="B46" s="195" t="s">
        <v>335</v>
      </c>
      <c r="C46" s="195"/>
      <c r="D46" s="195"/>
      <c r="E46" s="195"/>
      <c r="F46" s="195"/>
      <c r="G46" s="128"/>
      <c r="H46" s="128"/>
      <c r="I46" s="128"/>
      <c r="J46" s="128"/>
    </row>
    <row r="47" spans="2:13" x14ac:dyDescent="0.25">
      <c r="B47" s="195"/>
      <c r="C47" s="195"/>
      <c r="D47" s="195"/>
      <c r="E47" s="195"/>
      <c r="F47" s="195"/>
      <c r="G47" s="128"/>
      <c r="H47" s="128"/>
      <c r="I47" s="128"/>
      <c r="J47" s="128"/>
    </row>
  </sheetData>
  <mergeCells count="2">
    <mergeCell ref="B46:F47"/>
    <mergeCell ref="L24:S25"/>
  </mergeCells>
  <hyperlinks>
    <hyperlink ref="B1" location="Sommaire!A1" display="Retour au sommaire"/>
  </hyperlinks>
  <pageMargins left="0.7" right="0.7" top="0.75" bottom="0.75" header="0.3" footer="0.3"/>
  <pageSetup paperSize="9" orientation="portrait" verticalDpi="0"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showGridLines="0" topLeftCell="A5" zoomScaleNormal="100" workbookViewId="0">
      <selection activeCell="K21" sqref="K21"/>
    </sheetView>
  </sheetViews>
  <sheetFormatPr baseColWidth="10" defaultColWidth="11.5703125" defaultRowHeight="15" x14ac:dyDescent="0.25"/>
  <cols>
    <col min="1" max="1" width="2.85546875" style="1" customWidth="1"/>
    <col min="2" max="2" width="27.7109375" style="1" customWidth="1"/>
    <col min="3" max="10" width="11.5703125" style="1"/>
    <col min="12" max="16384" width="11.5703125" style="1"/>
  </cols>
  <sheetData>
    <row r="1" spans="2:20" x14ac:dyDescent="0.25">
      <c r="B1" s="112" t="s">
        <v>304</v>
      </c>
    </row>
    <row r="2" spans="2:20" s="42" customFormat="1" ht="31.15" customHeight="1" x14ac:dyDescent="0.25">
      <c r="B2" s="41" t="s">
        <v>91</v>
      </c>
    </row>
    <row r="3" spans="2:20" s="20" customFormat="1" ht="25.15" customHeight="1" x14ac:dyDescent="0.25">
      <c r="B3" s="19"/>
      <c r="C3" s="19">
        <v>2010</v>
      </c>
      <c r="D3" s="19">
        <v>2011</v>
      </c>
      <c r="E3" s="19">
        <v>2012</v>
      </c>
      <c r="F3" s="19">
        <v>2013</v>
      </c>
      <c r="G3" s="19">
        <v>2014</v>
      </c>
      <c r="H3" s="19">
        <v>2015</v>
      </c>
      <c r="I3" s="19">
        <v>2016</v>
      </c>
      <c r="J3" s="19">
        <v>2017</v>
      </c>
      <c r="K3" s="19">
        <v>2018</v>
      </c>
      <c r="L3" s="19">
        <v>2019</v>
      </c>
      <c r="M3" s="19" t="s">
        <v>16</v>
      </c>
    </row>
    <row r="4" spans="2:20" s="11" customFormat="1" ht="15.6" customHeight="1" x14ac:dyDescent="0.25">
      <c r="B4" s="115" t="s">
        <v>89</v>
      </c>
      <c r="C4" s="114">
        <v>5566</v>
      </c>
      <c r="D4" s="114">
        <v>11023</v>
      </c>
      <c r="E4" s="114">
        <v>16215</v>
      </c>
      <c r="F4" s="114">
        <v>17034</v>
      </c>
      <c r="G4" s="114">
        <v>19217</v>
      </c>
      <c r="H4" s="114">
        <v>28167</v>
      </c>
      <c r="I4" s="114">
        <v>41376</v>
      </c>
      <c r="J4" s="114">
        <v>49910</v>
      </c>
      <c r="K4" s="114">
        <v>52267</v>
      </c>
      <c r="L4" s="114">
        <v>51369</v>
      </c>
      <c r="M4" s="114">
        <f>SUM(C4:L4)</f>
        <v>292144</v>
      </c>
      <c r="O4" s="17"/>
    </row>
    <row r="5" spans="2:20" s="15" customFormat="1" ht="15.6" customHeight="1" x14ac:dyDescent="0.25">
      <c r="B5" s="115" t="s">
        <v>90</v>
      </c>
      <c r="C5" s="114">
        <v>251</v>
      </c>
      <c r="D5" s="114">
        <v>1134</v>
      </c>
      <c r="E5" s="114">
        <v>1391</v>
      </c>
      <c r="F5" s="114">
        <v>1356</v>
      </c>
      <c r="G5" s="114">
        <v>1243</v>
      </c>
      <c r="H5" s="114">
        <v>2357</v>
      </c>
      <c r="I5" s="114">
        <v>4072</v>
      </c>
      <c r="J5" s="114">
        <v>4769</v>
      </c>
      <c r="K5" s="114">
        <v>4836</v>
      </c>
      <c r="L5" s="114">
        <v>4585</v>
      </c>
      <c r="M5" s="114">
        <f t="shared" ref="M5:M9" si="0">SUM(C5:L5)</f>
        <v>25994</v>
      </c>
      <c r="O5" s="14"/>
    </row>
    <row r="6" spans="2:20" s="15" customFormat="1" ht="15.6" customHeight="1" x14ac:dyDescent="0.25">
      <c r="B6" s="115" t="s">
        <v>103</v>
      </c>
      <c r="C6" s="114">
        <v>114</v>
      </c>
      <c r="D6" s="114">
        <v>837</v>
      </c>
      <c r="E6" s="114">
        <v>1331</v>
      </c>
      <c r="F6" s="114">
        <v>1069</v>
      </c>
      <c r="G6" s="114">
        <v>1019</v>
      </c>
      <c r="H6" s="114">
        <v>3608</v>
      </c>
      <c r="I6" s="114">
        <v>6238</v>
      </c>
      <c r="J6" s="114">
        <v>7866</v>
      </c>
      <c r="K6" s="114">
        <v>8447</v>
      </c>
      <c r="L6" s="114">
        <v>8102</v>
      </c>
      <c r="M6" s="114">
        <f t="shared" si="0"/>
        <v>38631</v>
      </c>
      <c r="O6" s="14"/>
    </row>
    <row r="7" spans="2:20" s="11" customFormat="1" ht="15.6" customHeight="1" x14ac:dyDescent="0.25">
      <c r="B7" s="115" t="s">
        <v>102</v>
      </c>
      <c r="C7" s="114">
        <v>0</v>
      </c>
      <c r="D7" s="114">
        <v>180</v>
      </c>
      <c r="E7" s="114">
        <v>337</v>
      </c>
      <c r="F7" s="114">
        <v>345</v>
      </c>
      <c r="G7" s="114">
        <v>355</v>
      </c>
      <c r="H7" s="114">
        <v>3763</v>
      </c>
      <c r="I7" s="114">
        <v>10824</v>
      </c>
      <c r="J7" s="114">
        <v>15999</v>
      </c>
      <c r="K7" s="114">
        <v>17112</v>
      </c>
      <c r="L7" s="114">
        <v>15630</v>
      </c>
      <c r="M7" s="114">
        <f t="shared" si="0"/>
        <v>64545</v>
      </c>
    </row>
    <row r="8" spans="2:20" s="11" customFormat="1" ht="15.6" customHeight="1" x14ac:dyDescent="0.25">
      <c r="B8" s="115" t="s">
        <v>12</v>
      </c>
      <c r="C8" s="114">
        <v>77</v>
      </c>
      <c r="D8" s="114">
        <v>229</v>
      </c>
      <c r="E8" s="114">
        <v>208</v>
      </c>
      <c r="F8" s="114">
        <v>142</v>
      </c>
      <c r="G8" s="114">
        <v>91</v>
      </c>
      <c r="H8" s="114">
        <v>305</v>
      </c>
      <c r="I8" s="114">
        <v>534</v>
      </c>
      <c r="J8" s="114">
        <v>525</v>
      </c>
      <c r="K8" s="114">
        <v>1263</v>
      </c>
      <c r="L8" s="114">
        <v>1337</v>
      </c>
      <c r="M8" s="114">
        <f t="shared" si="0"/>
        <v>4711</v>
      </c>
    </row>
    <row r="9" spans="2:20" s="11" customFormat="1" ht="15.6" customHeight="1" x14ac:dyDescent="0.25">
      <c r="B9" s="116" t="s">
        <v>53</v>
      </c>
      <c r="C9" s="46">
        <v>6008</v>
      </c>
      <c r="D9" s="46">
        <v>13403</v>
      </c>
      <c r="E9" s="46">
        <v>19482</v>
      </c>
      <c r="F9" s="46">
        <v>19946</v>
      </c>
      <c r="G9" s="46">
        <v>21925</v>
      </c>
      <c r="H9" s="46">
        <v>38200</v>
      </c>
      <c r="I9" s="46">
        <v>63044</v>
      </c>
      <c r="J9" s="46">
        <v>79069</v>
      </c>
      <c r="K9" s="46">
        <f>SUM(K4:K8)</f>
        <v>83925</v>
      </c>
      <c r="L9" s="46">
        <f>SUM(L4:L8)</f>
        <v>81023</v>
      </c>
      <c r="M9" s="46">
        <f t="shared" si="0"/>
        <v>426025</v>
      </c>
    </row>
    <row r="10" spans="2:20" x14ac:dyDescent="0.25">
      <c r="B10" s="6" t="s">
        <v>357</v>
      </c>
      <c r="C10" s="4"/>
      <c r="D10" s="4"/>
      <c r="E10" s="4"/>
      <c r="F10" s="4"/>
      <c r="G10" s="4"/>
      <c r="H10" s="4"/>
      <c r="I10" s="4"/>
      <c r="L10" s="114"/>
    </row>
    <row r="11" spans="2:20" x14ac:dyDescent="0.25">
      <c r="L11" s="114"/>
    </row>
    <row r="12" spans="2:20" x14ac:dyDescent="0.25">
      <c r="B12" s="41" t="s">
        <v>323</v>
      </c>
      <c r="N12" s="82"/>
      <c r="O12" s="82"/>
      <c r="P12" s="82"/>
      <c r="Q12" s="82"/>
      <c r="R12" s="82"/>
      <c r="S12" s="82"/>
      <c r="T12" s="82"/>
    </row>
    <row r="13" spans="2:20" x14ac:dyDescent="0.25">
      <c r="B13" s="19"/>
      <c r="C13" s="19">
        <v>2010</v>
      </c>
      <c r="D13" s="19">
        <v>2011</v>
      </c>
      <c r="E13" s="19">
        <v>2012</v>
      </c>
      <c r="F13" s="19">
        <v>2013</v>
      </c>
      <c r="G13" s="19">
        <v>2014</v>
      </c>
      <c r="H13" s="19">
        <v>2015</v>
      </c>
      <c r="I13" s="19">
        <v>2016</v>
      </c>
      <c r="J13" s="19">
        <v>2017</v>
      </c>
      <c r="K13" s="19">
        <v>2018</v>
      </c>
      <c r="L13" s="19">
        <v>2019</v>
      </c>
      <c r="M13" s="19" t="s">
        <v>16</v>
      </c>
      <c r="N13" s="5"/>
      <c r="O13" s="5"/>
      <c r="P13" s="5"/>
      <c r="Q13" s="5"/>
      <c r="R13" s="5"/>
      <c r="S13" s="5"/>
      <c r="T13" s="82"/>
    </row>
    <row r="14" spans="2:20" x14ac:dyDescent="0.25">
      <c r="B14" s="115" t="s">
        <v>89</v>
      </c>
      <c r="C14" s="114">
        <f t="shared" ref="C14:M14" si="1">(C4*100)/C$9</f>
        <v>92.643142476697733</v>
      </c>
      <c r="D14" s="114">
        <f t="shared" si="1"/>
        <v>82.24278146683578</v>
      </c>
      <c r="E14" s="114">
        <f t="shared" si="1"/>
        <v>83.230674468740375</v>
      </c>
      <c r="F14" s="114">
        <f t="shared" si="1"/>
        <v>85.400581570239652</v>
      </c>
      <c r="G14" s="114">
        <f t="shared" si="1"/>
        <v>87.64880273660205</v>
      </c>
      <c r="H14" s="114">
        <f t="shared" si="1"/>
        <v>73.735602094240832</v>
      </c>
      <c r="I14" s="114">
        <f t="shared" si="1"/>
        <v>65.630353403971824</v>
      </c>
      <c r="J14" s="114">
        <f t="shared" si="1"/>
        <v>63.122083243749131</v>
      </c>
      <c r="K14" s="114">
        <f t="shared" si="1"/>
        <v>62.278224605302356</v>
      </c>
      <c r="L14" s="114">
        <f t="shared" si="1"/>
        <v>63.400515902891769</v>
      </c>
      <c r="M14" s="114">
        <f t="shared" si="1"/>
        <v>68.574379437826423</v>
      </c>
      <c r="N14" s="5"/>
      <c r="O14" s="5"/>
      <c r="P14" s="5"/>
      <c r="Q14" s="5"/>
      <c r="R14" s="5"/>
      <c r="S14" s="5"/>
      <c r="T14" s="82"/>
    </row>
    <row r="15" spans="2:20" x14ac:dyDescent="0.25">
      <c r="B15" s="115" t="s">
        <v>90</v>
      </c>
      <c r="C15" s="114">
        <f t="shared" ref="C15:M15" si="2">(C5*100)/C$9</f>
        <v>4.1777629826897469</v>
      </c>
      <c r="D15" s="114">
        <f t="shared" si="2"/>
        <v>8.4607923599194219</v>
      </c>
      <c r="E15" s="114">
        <f t="shared" si="2"/>
        <v>7.1399240324402014</v>
      </c>
      <c r="F15" s="114">
        <f t="shared" si="2"/>
        <v>6.7983555600120322</v>
      </c>
      <c r="G15" s="114">
        <f t="shared" si="2"/>
        <v>5.6693272519954387</v>
      </c>
      <c r="H15" s="114">
        <f t="shared" si="2"/>
        <v>6.170157068062827</v>
      </c>
      <c r="I15" s="114">
        <f t="shared" si="2"/>
        <v>6.4589810291225174</v>
      </c>
      <c r="J15" s="114">
        <f t="shared" si="2"/>
        <v>6.0314408933969066</v>
      </c>
      <c r="K15" s="114">
        <f t="shared" si="2"/>
        <v>5.7622877569258266</v>
      </c>
      <c r="L15" s="114">
        <f t="shared" si="2"/>
        <v>5.6588869827086139</v>
      </c>
      <c r="M15" s="114">
        <f t="shared" si="2"/>
        <v>6.1015198638577548</v>
      </c>
      <c r="N15" s="5"/>
      <c r="O15" s="5"/>
      <c r="P15" s="5"/>
      <c r="Q15" s="5"/>
      <c r="R15" s="5"/>
      <c r="S15" s="5"/>
      <c r="T15" s="82"/>
    </row>
    <row r="16" spans="2:20" x14ac:dyDescent="0.25">
      <c r="B16" s="115" t="s">
        <v>103</v>
      </c>
      <c r="C16" s="114">
        <f t="shared" ref="C16:M16" si="3">(C6*100)/C$9</f>
        <v>1.8974700399467377</v>
      </c>
      <c r="D16" s="114">
        <f t="shared" si="3"/>
        <v>6.2448705513690967</v>
      </c>
      <c r="E16" s="114">
        <f t="shared" si="3"/>
        <v>6.8319474386613281</v>
      </c>
      <c r="F16" s="114">
        <f t="shared" si="3"/>
        <v>5.3594705705404593</v>
      </c>
      <c r="G16" s="114">
        <f t="shared" si="3"/>
        <v>4.6476624857468645</v>
      </c>
      <c r="H16" s="114">
        <f t="shared" si="3"/>
        <v>9.4450261780104707</v>
      </c>
      <c r="I16" s="114">
        <f t="shared" si="3"/>
        <v>9.8946767337097903</v>
      </c>
      <c r="J16" s="114">
        <f t="shared" si="3"/>
        <v>9.9482730273558531</v>
      </c>
      <c r="K16" s="114">
        <f t="shared" si="3"/>
        <v>10.064938933571641</v>
      </c>
      <c r="L16" s="114">
        <f t="shared" si="3"/>
        <v>9.9996297347666712</v>
      </c>
      <c r="M16" s="114">
        <f t="shared" si="3"/>
        <v>9.0677777125755537</v>
      </c>
      <c r="N16" s="5"/>
      <c r="O16" s="5"/>
      <c r="P16" s="5"/>
      <c r="Q16" s="5"/>
      <c r="R16" s="5"/>
      <c r="S16" s="5"/>
      <c r="T16" s="82"/>
    </row>
    <row r="17" spans="2:20" x14ac:dyDescent="0.25">
      <c r="B17" s="115" t="s">
        <v>102</v>
      </c>
      <c r="C17" s="114">
        <f t="shared" ref="C17:M17" si="4">(C7*100)/C$9</f>
        <v>0</v>
      </c>
      <c r="D17" s="114">
        <f t="shared" si="4"/>
        <v>1.3429829142729239</v>
      </c>
      <c r="E17" s="114">
        <f t="shared" si="4"/>
        <v>1.7298018683913357</v>
      </c>
      <c r="F17" s="114">
        <f t="shared" si="4"/>
        <v>1.7296701092950968</v>
      </c>
      <c r="G17" s="114">
        <f t="shared" si="4"/>
        <v>1.6191562143671607</v>
      </c>
      <c r="H17" s="114">
        <f t="shared" si="4"/>
        <v>9.8507853403141361</v>
      </c>
      <c r="I17" s="114">
        <f t="shared" si="4"/>
        <v>17.168961360319777</v>
      </c>
      <c r="J17" s="114">
        <f t="shared" si="4"/>
        <v>20.23422580277985</v>
      </c>
      <c r="K17" s="114">
        <f t="shared" si="4"/>
        <v>20.38963360142985</v>
      </c>
      <c r="L17" s="114">
        <f t="shared" si="4"/>
        <v>19.29081865643089</v>
      </c>
      <c r="M17" s="114">
        <f t="shared" si="4"/>
        <v>15.150519335719736</v>
      </c>
      <c r="N17" s="5"/>
      <c r="O17" s="5"/>
      <c r="P17" s="5"/>
      <c r="Q17" s="5"/>
      <c r="R17" s="5"/>
      <c r="S17" s="5"/>
      <c r="T17" s="82"/>
    </row>
    <row r="18" spans="2:20" x14ac:dyDescent="0.25">
      <c r="B18" s="115" t="s">
        <v>12</v>
      </c>
      <c r="C18" s="114">
        <f t="shared" ref="C18:M18" si="5">(C8*100)/C$9</f>
        <v>1.2816245006657789</v>
      </c>
      <c r="D18" s="114">
        <f t="shared" si="5"/>
        <v>1.7085727076027755</v>
      </c>
      <c r="E18" s="114">
        <f t="shared" si="5"/>
        <v>1.067652191766759</v>
      </c>
      <c r="F18" s="114">
        <f t="shared" si="5"/>
        <v>0.71192218991276446</v>
      </c>
      <c r="G18" s="114">
        <f t="shared" si="5"/>
        <v>0.41505131128848349</v>
      </c>
      <c r="H18" s="114">
        <f t="shared" si="5"/>
        <v>0.79842931937172779</v>
      </c>
      <c r="I18" s="114">
        <f t="shared" si="5"/>
        <v>0.8470274728760866</v>
      </c>
      <c r="J18" s="114">
        <f t="shared" si="5"/>
        <v>0.6639770327182587</v>
      </c>
      <c r="K18" s="114">
        <f t="shared" si="5"/>
        <v>1.5049151027703307</v>
      </c>
      <c r="L18" s="114">
        <f t="shared" si="5"/>
        <v>1.6501487232020537</v>
      </c>
      <c r="M18" s="114">
        <f t="shared" si="5"/>
        <v>1.1058036500205386</v>
      </c>
      <c r="N18" s="82"/>
      <c r="O18" s="82"/>
      <c r="P18" s="82"/>
      <c r="Q18" s="82"/>
      <c r="R18" s="82"/>
      <c r="S18" s="82"/>
      <c r="T18" s="82"/>
    </row>
    <row r="19" spans="2:20" ht="12" x14ac:dyDescent="0.2">
      <c r="B19" s="116" t="s">
        <v>53</v>
      </c>
      <c r="C19" s="46">
        <f t="shared" ref="C19:I19" si="6">SUM(C14:C18)</f>
        <v>100</v>
      </c>
      <c r="D19" s="46">
        <f t="shared" si="6"/>
        <v>99.999999999999986</v>
      </c>
      <c r="E19" s="46">
        <f t="shared" si="6"/>
        <v>100</v>
      </c>
      <c r="F19" s="46">
        <f t="shared" si="6"/>
        <v>100.00000000000001</v>
      </c>
      <c r="G19" s="46">
        <f t="shared" si="6"/>
        <v>100</v>
      </c>
      <c r="H19" s="46">
        <f t="shared" si="6"/>
        <v>99.999999999999972</v>
      </c>
      <c r="I19" s="46">
        <f t="shared" si="6"/>
        <v>99.999999999999986</v>
      </c>
      <c r="J19" s="46">
        <f>(J9*100)/J$9</f>
        <v>100</v>
      </c>
      <c r="K19" s="46">
        <f>(K9*100)/K$9</f>
        <v>100</v>
      </c>
      <c r="L19" s="46">
        <f>(L9*100)/L$9</f>
        <v>100</v>
      </c>
      <c r="M19" s="46">
        <f t="shared" ref="M19" si="7">(M9*100)/M$9</f>
        <v>100</v>
      </c>
    </row>
    <row r="20" spans="2:20" x14ac:dyDescent="0.25">
      <c r="B20" s="6" t="s">
        <v>357</v>
      </c>
    </row>
    <row r="22" spans="2:20" x14ac:dyDescent="0.25">
      <c r="B22" s="41" t="s">
        <v>324</v>
      </c>
    </row>
    <row r="25" spans="2:20" ht="17.45" customHeight="1" x14ac:dyDescent="0.25"/>
    <row r="26" spans="2:20" ht="17.45" customHeight="1" x14ac:dyDescent="0.25"/>
    <row r="34" spans="2:8" ht="12" customHeight="1" x14ac:dyDescent="0.25"/>
    <row r="36" spans="2:8" ht="12" customHeight="1" x14ac:dyDescent="0.25"/>
    <row r="43" spans="2:8" x14ac:dyDescent="0.25">
      <c r="B43" s="6" t="s">
        <v>357</v>
      </c>
    </row>
    <row r="44" spans="2:8" ht="15" customHeight="1" x14ac:dyDescent="0.25">
      <c r="B44" s="194" t="s">
        <v>336</v>
      </c>
      <c r="C44" s="194"/>
      <c r="D44" s="194"/>
      <c r="E44" s="194"/>
      <c r="F44" s="194"/>
      <c r="G44" s="194"/>
      <c r="H44" s="194"/>
    </row>
    <row r="45" spans="2:8" x14ac:dyDescent="0.25">
      <c r="B45" s="194"/>
      <c r="C45" s="194"/>
      <c r="D45" s="194"/>
      <c r="E45" s="194"/>
      <c r="F45" s="194"/>
      <c r="G45" s="194"/>
      <c r="H45" s="194"/>
    </row>
  </sheetData>
  <mergeCells count="1">
    <mergeCell ref="B44:H45"/>
  </mergeCells>
  <hyperlinks>
    <hyperlink ref="B1" location="Sommaire!A1" display="Retour au sommaire"/>
  </hyperlinks>
  <pageMargins left="0.7" right="0.7" top="0.75" bottom="0.75" header="0.3" footer="0.3"/>
  <pageSetup paperSize="9" scale="72" orientation="portrait" verticalDpi="0" r:id="rId1"/>
  <ignoredErrors>
    <ignoredError sqref="K9:L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33"/>
  <sheetViews>
    <sheetView showGridLines="0" zoomScaleNormal="100" workbookViewId="0">
      <selection activeCell="H9" sqref="H9"/>
    </sheetView>
  </sheetViews>
  <sheetFormatPr baseColWidth="10" defaultRowHeight="15" x14ac:dyDescent="0.25"/>
  <cols>
    <col min="1" max="1" width="2.85546875" style="95" customWidth="1"/>
    <col min="2" max="2" width="17.5703125" customWidth="1"/>
  </cols>
  <sheetData>
    <row r="1" spans="2:12" s="95" customFormat="1" x14ac:dyDescent="0.25">
      <c r="B1" s="112" t="s">
        <v>304</v>
      </c>
    </row>
    <row r="2" spans="2:12" s="43" customFormat="1" ht="18.600000000000001" customHeight="1" x14ac:dyDescent="0.2">
      <c r="B2" s="41" t="s">
        <v>325</v>
      </c>
      <c r="J2" s="44"/>
    </row>
    <row r="3" spans="2:12" s="9" customFormat="1" ht="36.6" customHeight="1" x14ac:dyDescent="0.25">
      <c r="B3" s="21"/>
      <c r="C3" s="21" t="s">
        <v>3</v>
      </c>
      <c r="D3" s="21" t="s">
        <v>6</v>
      </c>
      <c r="E3" s="21" t="s">
        <v>4</v>
      </c>
      <c r="F3" s="21" t="s">
        <v>5</v>
      </c>
      <c r="G3" s="137" t="s">
        <v>16</v>
      </c>
      <c r="I3" s="10"/>
    </row>
    <row r="4" spans="2:12" x14ac:dyDescent="0.25">
      <c r="B4" s="54" t="s">
        <v>18</v>
      </c>
      <c r="C4" s="17">
        <f>42458+24410</f>
        <v>66868</v>
      </c>
      <c r="D4" s="17">
        <f>4301+2343</f>
        <v>6644</v>
      </c>
      <c r="E4" s="17">
        <f>37280+16795</f>
        <v>54075</v>
      </c>
      <c r="F4" s="17">
        <f>13045+9976</f>
        <v>23021</v>
      </c>
      <c r="G4" s="14">
        <f>SUM(C4:F4)</f>
        <v>150608</v>
      </c>
    </row>
    <row r="5" spans="2:12" x14ac:dyDescent="0.25">
      <c r="B5" s="54" t="s">
        <v>7</v>
      </c>
      <c r="C5" s="17">
        <f>29546+20910</f>
        <v>50456</v>
      </c>
      <c r="D5" s="17">
        <f>3941+2518</f>
        <v>6459</v>
      </c>
      <c r="E5" s="17">
        <f>45544+29206</f>
        <v>74750</v>
      </c>
      <c r="F5" s="17">
        <f>20590+18142</f>
        <v>38732</v>
      </c>
      <c r="G5" s="14">
        <f t="shared" ref="G5:G8" si="0">SUM(C5:F5)</f>
        <v>170397</v>
      </c>
      <c r="I5" s="78"/>
      <c r="J5" s="161"/>
      <c r="K5" s="193"/>
      <c r="L5" s="78"/>
    </row>
    <row r="6" spans="2:12" x14ac:dyDescent="0.25">
      <c r="B6" s="54" t="s">
        <v>8</v>
      </c>
      <c r="C6" s="17">
        <f>1259+932</f>
        <v>2191</v>
      </c>
      <c r="D6" s="17">
        <f>761+508</f>
        <v>1269</v>
      </c>
      <c r="E6" s="17">
        <f>12128+8173</f>
        <v>20301</v>
      </c>
      <c r="F6" s="17">
        <f>2987+8311</f>
        <v>11298</v>
      </c>
      <c r="G6" s="14">
        <f t="shared" si="0"/>
        <v>35059</v>
      </c>
      <c r="J6" s="161"/>
    </row>
    <row r="7" spans="2:12" ht="24" x14ac:dyDescent="0.25">
      <c r="B7" s="54" t="s">
        <v>17</v>
      </c>
      <c r="C7" s="17">
        <f>7247+5245</f>
        <v>12492</v>
      </c>
      <c r="D7" s="17">
        <f>1365+687</f>
        <v>2052</v>
      </c>
      <c r="E7" s="17">
        <f>27198+14275</f>
        <v>41473</v>
      </c>
      <c r="F7" s="17">
        <f>11427+2517</f>
        <v>13944</v>
      </c>
      <c r="G7" s="14">
        <f t="shared" si="0"/>
        <v>69961</v>
      </c>
      <c r="J7" s="161"/>
    </row>
    <row r="8" spans="2:12" x14ac:dyDescent="0.25">
      <c r="B8" s="55" t="s">
        <v>16</v>
      </c>
      <c r="C8" s="59">
        <f>SUM(C4:C7)</f>
        <v>132007</v>
      </c>
      <c r="D8" s="59">
        <f>SUM(D4:D7)</f>
        <v>16424</v>
      </c>
      <c r="E8" s="59">
        <f>SUM(E4:E7)</f>
        <v>190599</v>
      </c>
      <c r="F8" s="59">
        <f>SUM(F4:F7)</f>
        <v>86995</v>
      </c>
      <c r="G8" s="46">
        <f t="shared" si="0"/>
        <v>426025</v>
      </c>
      <c r="H8" s="117"/>
    </row>
    <row r="9" spans="2:12" x14ac:dyDescent="0.25">
      <c r="B9" s="73" t="s">
        <v>357</v>
      </c>
      <c r="C9" s="73"/>
      <c r="D9" s="73"/>
    </row>
    <row r="10" spans="2:12" x14ac:dyDescent="0.25">
      <c r="B10" s="195" t="s">
        <v>337</v>
      </c>
      <c r="C10" s="195"/>
      <c r="D10" s="195"/>
      <c r="E10" s="195"/>
      <c r="F10" s="195"/>
    </row>
    <row r="11" spans="2:12" ht="15" customHeight="1" x14ac:dyDescent="0.25">
      <c r="B11" s="195"/>
      <c r="C11" s="195"/>
      <c r="D11" s="195"/>
      <c r="E11" s="195"/>
      <c r="F11" s="195"/>
    </row>
    <row r="12" spans="2:12" ht="14.45" customHeight="1" x14ac:dyDescent="0.25"/>
    <row r="13" spans="2:12" ht="26.25" customHeight="1" x14ac:dyDescent="0.25">
      <c r="C13" s="196" t="s">
        <v>326</v>
      </c>
      <c r="D13" s="196"/>
      <c r="E13" s="196"/>
      <c r="F13" s="196"/>
      <c r="G13" s="196"/>
      <c r="H13" s="196"/>
      <c r="I13" s="196"/>
    </row>
    <row r="14" spans="2:12" x14ac:dyDescent="0.25">
      <c r="H14" s="37"/>
    </row>
    <row r="30" spans="3:9" ht="26.25" customHeight="1" x14ac:dyDescent="0.25"/>
    <row r="31" spans="3:9" x14ac:dyDescent="0.25">
      <c r="C31" s="74" t="s">
        <v>357</v>
      </c>
      <c r="D31" s="74"/>
      <c r="E31" s="74"/>
    </row>
    <row r="32" spans="3:9" ht="16.5" customHeight="1" x14ac:dyDescent="0.25">
      <c r="C32" s="195" t="s">
        <v>338</v>
      </c>
      <c r="D32" s="195"/>
      <c r="E32" s="195"/>
      <c r="F32" s="195"/>
      <c r="G32" s="195"/>
      <c r="H32" s="195"/>
      <c r="I32" s="195"/>
    </row>
    <row r="33" spans="3:9" x14ac:dyDescent="0.25">
      <c r="C33" s="195"/>
      <c r="D33" s="195"/>
      <c r="E33" s="195"/>
      <c r="F33" s="195"/>
      <c r="G33" s="195"/>
      <c r="H33" s="195"/>
      <c r="I33" s="195"/>
    </row>
  </sheetData>
  <mergeCells count="3">
    <mergeCell ref="C13:I13"/>
    <mergeCell ref="C32:I33"/>
    <mergeCell ref="B10:F11"/>
  </mergeCells>
  <hyperlinks>
    <hyperlink ref="B1" location="Sommaire!A1" display="Retour au sommaire"/>
  </hyperlinks>
  <pageMargins left="0.7" right="0.7" top="0.75" bottom="0.75" header="0.3" footer="0.3"/>
  <pageSetup paperSize="9" scale="8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1:R41"/>
  <sheetViews>
    <sheetView showGridLines="0" zoomScaleNormal="100" workbookViewId="0">
      <selection activeCell="K11" sqref="K11"/>
    </sheetView>
  </sheetViews>
  <sheetFormatPr baseColWidth="10" defaultColWidth="11.5703125" defaultRowHeight="12" x14ac:dyDescent="0.2"/>
  <cols>
    <col min="1" max="1" width="2.85546875" style="1" customWidth="1"/>
    <col min="2" max="2" width="18.42578125" style="1" customWidth="1"/>
    <col min="3" max="9" width="11.5703125" style="1"/>
    <col min="10" max="10" width="11.5703125" style="7"/>
    <col min="11" max="16384" width="11.5703125" style="1"/>
  </cols>
  <sheetData>
    <row r="1" spans="2:18" ht="15" x14ac:dyDescent="0.25">
      <c r="B1" s="112" t="s">
        <v>304</v>
      </c>
    </row>
    <row r="2" spans="2:18" s="42" customFormat="1" ht="25.15" customHeight="1" x14ac:dyDescent="0.25">
      <c r="B2" s="61" t="s">
        <v>308</v>
      </c>
      <c r="J2" s="41"/>
    </row>
    <row r="3" spans="2:18" s="35" customFormat="1" ht="16.899999999999999" customHeight="1" x14ac:dyDescent="0.25">
      <c r="B3" s="34"/>
      <c r="C3" s="83">
        <v>2011</v>
      </c>
      <c r="D3" s="83">
        <v>2012</v>
      </c>
      <c r="E3" s="83">
        <v>2013</v>
      </c>
      <c r="F3" s="83">
        <v>2014</v>
      </c>
      <c r="G3" s="83">
        <v>2015</v>
      </c>
      <c r="H3" s="83">
        <v>2016</v>
      </c>
      <c r="I3" s="83">
        <v>2017</v>
      </c>
      <c r="J3" s="83">
        <v>2018</v>
      </c>
      <c r="K3" s="83">
        <v>2019</v>
      </c>
    </row>
    <row r="4" spans="2:18" ht="13.9" customHeight="1" x14ac:dyDescent="0.2">
      <c r="B4" s="25" t="s">
        <v>3</v>
      </c>
      <c r="C4" s="138">
        <v>33.99</v>
      </c>
      <c r="D4" s="138">
        <v>33.85</v>
      </c>
      <c r="E4" s="138">
        <v>33.42</v>
      </c>
      <c r="F4" s="138">
        <v>33.770000000000003</v>
      </c>
      <c r="G4" s="138">
        <v>29.88</v>
      </c>
      <c r="H4" s="138">
        <v>28.91</v>
      </c>
      <c r="I4" s="138">
        <v>30</v>
      </c>
      <c r="J4" s="138">
        <v>31</v>
      </c>
      <c r="K4" s="138">
        <v>32</v>
      </c>
      <c r="L4" s="3"/>
      <c r="M4" s="3"/>
      <c r="N4" s="3"/>
      <c r="O4" s="3"/>
      <c r="P4" s="3"/>
      <c r="Q4" s="3"/>
      <c r="R4" s="3"/>
    </row>
    <row r="5" spans="2:18" ht="13.9" customHeight="1" x14ac:dyDescent="0.2">
      <c r="B5" s="25" t="s">
        <v>4</v>
      </c>
      <c r="C5" s="138">
        <v>47.29</v>
      </c>
      <c r="D5" s="138">
        <v>47.36</v>
      </c>
      <c r="E5" s="138">
        <v>48.07</v>
      </c>
      <c r="F5" s="138">
        <v>45.93</v>
      </c>
      <c r="G5" s="138">
        <v>47.91</v>
      </c>
      <c r="H5" s="138">
        <v>47.72</v>
      </c>
      <c r="I5" s="138">
        <v>45</v>
      </c>
      <c r="J5" s="138">
        <v>43</v>
      </c>
      <c r="K5" s="138">
        <v>40</v>
      </c>
      <c r="L5" s="3"/>
      <c r="M5" s="3"/>
      <c r="N5" s="3"/>
      <c r="O5" s="3"/>
      <c r="P5" s="3"/>
      <c r="Q5" s="3"/>
    </row>
    <row r="6" spans="2:18" ht="13.9" customHeight="1" x14ac:dyDescent="0.2">
      <c r="B6" s="25" t="s">
        <v>5</v>
      </c>
      <c r="C6" s="138">
        <v>13.01</v>
      </c>
      <c r="D6" s="138">
        <v>13.57</v>
      </c>
      <c r="E6" s="138">
        <v>14</v>
      </c>
      <c r="F6" s="138">
        <v>16.41</v>
      </c>
      <c r="G6" s="138">
        <v>18.45</v>
      </c>
      <c r="H6" s="138">
        <v>19.78</v>
      </c>
      <c r="I6" s="138">
        <v>21</v>
      </c>
      <c r="J6" s="138">
        <v>23</v>
      </c>
      <c r="K6" s="138">
        <v>24</v>
      </c>
      <c r="L6" s="3"/>
      <c r="M6" s="3"/>
      <c r="N6" s="3"/>
      <c r="O6" s="3"/>
      <c r="P6" s="3"/>
      <c r="Q6" s="3"/>
    </row>
    <row r="7" spans="2:18" ht="13.9" customHeight="1" x14ac:dyDescent="0.2">
      <c r="B7" s="25" t="s">
        <v>6</v>
      </c>
      <c r="C7" s="138">
        <v>5.71</v>
      </c>
      <c r="D7" s="138">
        <v>5.23</v>
      </c>
      <c r="E7" s="138">
        <v>4.51</v>
      </c>
      <c r="F7" s="138">
        <v>3.9</v>
      </c>
      <c r="G7" s="138">
        <v>3.76</v>
      </c>
      <c r="H7" s="138">
        <v>3.59</v>
      </c>
      <c r="I7" s="138">
        <v>4</v>
      </c>
      <c r="J7" s="138">
        <v>4</v>
      </c>
      <c r="K7" s="138">
        <v>4</v>
      </c>
      <c r="L7" s="3"/>
      <c r="M7" s="3"/>
      <c r="N7" s="3"/>
      <c r="O7" s="3"/>
      <c r="P7" s="3"/>
      <c r="Q7" s="3"/>
    </row>
    <row r="8" spans="2:18" ht="13.9" customHeight="1" x14ac:dyDescent="0.2">
      <c r="B8" s="25"/>
      <c r="C8" s="138"/>
      <c r="D8" s="138"/>
      <c r="E8" s="138"/>
      <c r="F8" s="138"/>
      <c r="G8" s="138"/>
      <c r="H8" s="138"/>
      <c r="I8" s="139"/>
      <c r="J8" s="138"/>
      <c r="K8" s="139"/>
      <c r="L8" s="3"/>
      <c r="M8" s="3"/>
      <c r="N8" s="3"/>
      <c r="O8" s="3"/>
      <c r="P8" s="3"/>
      <c r="Q8" s="3"/>
    </row>
    <row r="9" spans="2:18" ht="13.9" customHeight="1" x14ac:dyDescent="0.2">
      <c r="B9" s="25" t="s">
        <v>59</v>
      </c>
      <c r="C9" s="138">
        <v>22.66</v>
      </c>
      <c r="D9" s="138">
        <v>20.28</v>
      </c>
      <c r="E9" s="138">
        <v>18.11</v>
      </c>
      <c r="F9" s="138">
        <v>17.55</v>
      </c>
      <c r="G9" s="138">
        <v>17.61</v>
      </c>
      <c r="H9" s="138">
        <v>17.57</v>
      </c>
      <c r="I9" s="138">
        <v>17</v>
      </c>
      <c r="J9" s="138">
        <v>17</v>
      </c>
      <c r="K9" s="138">
        <v>17</v>
      </c>
      <c r="L9" s="3"/>
      <c r="M9" s="3"/>
      <c r="N9" s="3"/>
      <c r="O9" s="3"/>
      <c r="P9" s="3"/>
      <c r="Q9" s="3"/>
    </row>
    <row r="10" spans="2:18" ht="13.9" customHeight="1" x14ac:dyDescent="0.2">
      <c r="B10" s="25" t="s">
        <v>8</v>
      </c>
      <c r="C10" s="138">
        <v>0.16</v>
      </c>
      <c r="D10" s="138">
        <v>4.4800000000000004</v>
      </c>
      <c r="E10" s="138">
        <v>7.2</v>
      </c>
      <c r="F10" s="138">
        <v>6.21</v>
      </c>
      <c r="G10" s="138">
        <v>6.93</v>
      </c>
      <c r="H10" s="138">
        <v>7.67</v>
      </c>
      <c r="I10" s="138">
        <v>8</v>
      </c>
      <c r="J10" s="138">
        <v>8</v>
      </c>
      <c r="K10" s="138">
        <v>7</v>
      </c>
      <c r="L10" s="3"/>
      <c r="M10" s="3"/>
      <c r="N10" s="3"/>
      <c r="O10" s="3"/>
      <c r="P10" s="3"/>
      <c r="Q10" s="3"/>
    </row>
    <row r="11" spans="2:18" ht="13.9" customHeight="1" x14ac:dyDescent="0.2">
      <c r="B11" s="25" t="s">
        <v>7</v>
      </c>
      <c r="C11" s="138">
        <v>35.58</v>
      </c>
      <c r="D11" s="138">
        <v>33.51</v>
      </c>
      <c r="E11" s="138">
        <v>31.72</v>
      </c>
      <c r="F11" s="138">
        <v>33.81</v>
      </c>
      <c r="G11" s="138">
        <v>36.4</v>
      </c>
      <c r="H11" s="138">
        <v>39.85</v>
      </c>
      <c r="I11" s="138">
        <v>42</v>
      </c>
      <c r="J11" s="138">
        <v>43</v>
      </c>
      <c r="K11" s="138">
        <v>43</v>
      </c>
      <c r="L11" s="3"/>
      <c r="M11" s="3"/>
      <c r="N11" s="3"/>
      <c r="O11" s="3"/>
      <c r="P11" s="3"/>
      <c r="Q11" s="3"/>
    </row>
    <row r="12" spans="2:18" ht="13.9" customHeight="1" x14ac:dyDescent="0.2">
      <c r="B12" s="27" t="s">
        <v>18</v>
      </c>
      <c r="C12" s="140">
        <v>41.6</v>
      </c>
      <c r="D12" s="140">
        <v>41.74</v>
      </c>
      <c r="E12" s="140">
        <v>42.98</v>
      </c>
      <c r="F12" s="140">
        <v>42.43</v>
      </c>
      <c r="G12" s="140">
        <v>39.06</v>
      </c>
      <c r="H12" s="140">
        <v>34.92</v>
      </c>
      <c r="I12" s="140">
        <v>33</v>
      </c>
      <c r="J12" s="140">
        <v>32</v>
      </c>
      <c r="K12" s="140">
        <v>33</v>
      </c>
      <c r="L12" s="3"/>
      <c r="M12" s="3"/>
      <c r="N12" s="3"/>
      <c r="O12" s="3"/>
      <c r="P12" s="3"/>
      <c r="Q12" s="3"/>
    </row>
    <row r="13" spans="2:18" ht="13.9" customHeight="1" x14ac:dyDescent="0.2">
      <c r="B13" s="6" t="s">
        <v>357</v>
      </c>
      <c r="C13" s="38"/>
      <c r="D13" s="36"/>
      <c r="E13" s="36"/>
      <c r="F13" s="36"/>
      <c r="G13" s="36"/>
      <c r="H13" s="36"/>
      <c r="I13" s="36"/>
      <c r="J13" s="1"/>
    </row>
    <row r="14" spans="2:18" x14ac:dyDescent="0.2">
      <c r="B14" s="197" t="s">
        <v>339</v>
      </c>
      <c r="C14" s="197"/>
      <c r="D14" s="197"/>
      <c r="E14" s="197"/>
      <c r="F14" s="197"/>
      <c r="G14" s="197"/>
      <c r="H14" s="197"/>
    </row>
    <row r="15" spans="2:18" x14ac:dyDescent="0.2">
      <c r="B15" s="197"/>
      <c r="C15" s="197"/>
      <c r="D15" s="197"/>
      <c r="E15" s="197"/>
      <c r="F15" s="197"/>
      <c r="G15" s="197"/>
      <c r="H15" s="197"/>
    </row>
    <row r="17" spans="3:18" ht="12.75" x14ac:dyDescent="0.2">
      <c r="C17" s="44" t="s">
        <v>58</v>
      </c>
      <c r="K17" s="44" t="s">
        <v>305</v>
      </c>
    </row>
    <row r="29" spans="3:18" s="6" customFormat="1" x14ac:dyDescent="0.2">
      <c r="C29" s="1"/>
      <c r="D29" s="1"/>
      <c r="E29" s="1"/>
      <c r="F29" s="1"/>
      <c r="G29" s="1"/>
      <c r="H29" s="1"/>
      <c r="I29" s="1"/>
      <c r="J29" s="7"/>
      <c r="K29" s="1"/>
      <c r="L29" s="1"/>
      <c r="M29" s="1"/>
      <c r="N29" s="1"/>
      <c r="O29" s="1"/>
      <c r="P29" s="1"/>
      <c r="Q29" s="1"/>
      <c r="R29" s="1"/>
    </row>
    <row r="30" spans="3:18" x14ac:dyDescent="0.2">
      <c r="C30" s="6"/>
      <c r="D30" s="6"/>
      <c r="E30" s="6"/>
      <c r="F30" s="6"/>
      <c r="G30" s="6"/>
      <c r="H30" s="6"/>
      <c r="I30" s="6"/>
      <c r="J30" s="29"/>
      <c r="K30" s="6"/>
      <c r="L30" s="6"/>
      <c r="M30" s="6"/>
      <c r="N30" s="6"/>
      <c r="O30" s="6"/>
      <c r="P30" s="6"/>
      <c r="Q30" s="6"/>
      <c r="R30" s="6"/>
    </row>
    <row r="39" spans="3:17" x14ac:dyDescent="0.2">
      <c r="C39" s="6" t="s">
        <v>357</v>
      </c>
      <c r="K39" s="6" t="s">
        <v>357</v>
      </c>
    </row>
    <row r="40" spans="3:17" x14ac:dyDescent="0.2">
      <c r="C40" s="197" t="s">
        <v>340</v>
      </c>
      <c r="D40" s="197"/>
      <c r="E40" s="197"/>
      <c r="F40" s="197"/>
      <c r="G40" s="197"/>
      <c r="H40" s="197"/>
      <c r="I40" s="197"/>
      <c r="K40" s="197" t="s">
        <v>341</v>
      </c>
      <c r="L40" s="197"/>
      <c r="M40" s="197"/>
      <c r="N40" s="197"/>
      <c r="O40" s="197"/>
      <c r="P40" s="197"/>
      <c r="Q40" s="197"/>
    </row>
    <row r="41" spans="3:17" x14ac:dyDescent="0.2">
      <c r="C41" s="197"/>
      <c r="D41" s="197"/>
      <c r="E41" s="197"/>
      <c r="F41" s="197"/>
      <c r="G41" s="197"/>
      <c r="H41" s="197"/>
      <c r="I41" s="197"/>
      <c r="K41" s="197"/>
      <c r="L41" s="197"/>
      <c r="M41" s="197"/>
      <c r="N41" s="197"/>
      <c r="O41" s="197"/>
      <c r="P41" s="197"/>
      <c r="Q41" s="197"/>
    </row>
  </sheetData>
  <mergeCells count="3">
    <mergeCell ref="B14:H15"/>
    <mergeCell ref="C40:I41"/>
    <mergeCell ref="K40:Q41"/>
  </mergeCells>
  <hyperlinks>
    <hyperlink ref="B1" location="Sommaire!A1" display="Retour au sommaire"/>
  </hyperlinks>
  <pageMargins left="0.7" right="0.7" top="0.75" bottom="0.75" header="0.3" footer="0.3"/>
  <pageSetup paperSize="9" scale="87" orientation="portrait" verticalDpi="0"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1:K47"/>
  <sheetViews>
    <sheetView showGridLines="0" topLeftCell="A2" zoomScaleNormal="100" workbookViewId="0">
      <selection activeCell="L19" sqref="L19"/>
    </sheetView>
  </sheetViews>
  <sheetFormatPr baseColWidth="10" defaultColWidth="11.5703125" defaultRowHeight="12" x14ac:dyDescent="0.2"/>
  <cols>
    <col min="1" max="1" width="2.85546875" style="1" customWidth="1"/>
    <col min="2" max="2" width="18.42578125" style="1" customWidth="1"/>
    <col min="3" max="9" width="11.5703125" style="1"/>
    <col min="10" max="10" width="11.5703125" style="7"/>
    <col min="11" max="16384" width="11.5703125" style="1"/>
  </cols>
  <sheetData>
    <row r="1" spans="2:11" ht="15" x14ac:dyDescent="0.25">
      <c r="B1" s="112" t="s">
        <v>304</v>
      </c>
      <c r="C1" s="118"/>
      <c r="D1" s="118"/>
      <c r="E1" s="118"/>
      <c r="F1" s="118"/>
      <c r="G1" s="118"/>
      <c r="H1" s="118"/>
      <c r="I1" s="118"/>
    </row>
    <row r="2" spans="2:11" s="42" customFormat="1" ht="24" customHeight="1" x14ac:dyDescent="0.25">
      <c r="B2" s="41" t="s">
        <v>56</v>
      </c>
    </row>
    <row r="3" spans="2:11" s="39" customFormat="1" ht="18" customHeight="1" x14ac:dyDescent="0.25">
      <c r="B3" s="34"/>
      <c r="C3" s="19">
        <v>2011</v>
      </c>
      <c r="D3" s="19">
        <v>2012</v>
      </c>
      <c r="E3" s="19">
        <v>2013</v>
      </c>
      <c r="F3" s="19">
        <v>2014</v>
      </c>
      <c r="G3" s="19">
        <v>2015</v>
      </c>
      <c r="H3" s="19">
        <v>2016</v>
      </c>
      <c r="I3" s="19">
        <v>2017</v>
      </c>
      <c r="J3" s="19">
        <v>2018</v>
      </c>
      <c r="K3" s="19">
        <v>2019</v>
      </c>
    </row>
    <row r="4" spans="2:11" ht="13.9" customHeight="1" x14ac:dyDescent="0.2">
      <c r="B4" s="25" t="s">
        <v>54</v>
      </c>
      <c r="C4" s="24">
        <v>10.37</v>
      </c>
      <c r="D4" s="24">
        <v>10.81</v>
      </c>
      <c r="E4" s="24">
        <v>11.65</v>
      </c>
      <c r="F4" s="24">
        <v>13.64</v>
      </c>
      <c r="G4" s="24">
        <v>14.27</v>
      </c>
      <c r="H4" s="24">
        <v>15.96</v>
      </c>
      <c r="I4" s="24">
        <v>17.350000000000001</v>
      </c>
      <c r="J4" s="24">
        <v>20</v>
      </c>
      <c r="K4" s="24">
        <v>21</v>
      </c>
    </row>
    <row r="5" spans="2:11" ht="13.9" customHeight="1" x14ac:dyDescent="0.2">
      <c r="B5" s="25" t="s">
        <v>43</v>
      </c>
      <c r="C5" s="24">
        <v>12.07</v>
      </c>
      <c r="D5" s="24">
        <v>11.36</v>
      </c>
      <c r="E5" s="24">
        <v>11.64</v>
      </c>
      <c r="F5" s="24">
        <v>12.36</v>
      </c>
      <c r="G5" s="24">
        <v>13.29</v>
      </c>
      <c r="H5" s="24">
        <v>14.32</v>
      </c>
      <c r="I5" s="24">
        <v>15.48</v>
      </c>
      <c r="J5" s="24">
        <v>16</v>
      </c>
      <c r="K5" s="24">
        <v>16</v>
      </c>
    </row>
    <row r="6" spans="2:11" ht="13.9" customHeight="1" x14ac:dyDescent="0.2">
      <c r="B6" s="25" t="s">
        <v>44</v>
      </c>
      <c r="C6" s="24">
        <v>14.21</v>
      </c>
      <c r="D6" s="24">
        <v>14.55</v>
      </c>
      <c r="E6" s="24">
        <v>13.48</v>
      </c>
      <c r="F6" s="24">
        <v>13.34</v>
      </c>
      <c r="G6" s="24">
        <v>14.66</v>
      </c>
      <c r="H6" s="24">
        <v>15.28</v>
      </c>
      <c r="I6" s="24">
        <v>15.2</v>
      </c>
      <c r="J6" s="24">
        <v>15</v>
      </c>
      <c r="K6" s="24">
        <v>15</v>
      </c>
    </row>
    <row r="7" spans="2:11" ht="13.9" customHeight="1" x14ac:dyDescent="0.2">
      <c r="B7" s="25" t="s">
        <v>45</v>
      </c>
      <c r="C7" s="24">
        <v>14.82</v>
      </c>
      <c r="D7" s="24">
        <v>14.87</v>
      </c>
      <c r="E7" s="24">
        <v>14.88</v>
      </c>
      <c r="F7" s="24">
        <v>13.97</v>
      </c>
      <c r="G7" s="24">
        <v>13.94</v>
      </c>
      <c r="H7" s="24">
        <v>14.31</v>
      </c>
      <c r="I7" s="24">
        <v>14.45</v>
      </c>
      <c r="J7" s="24">
        <v>14</v>
      </c>
      <c r="K7" s="24">
        <v>14</v>
      </c>
    </row>
    <row r="8" spans="2:11" ht="13.9" customHeight="1" x14ac:dyDescent="0.2">
      <c r="B8" s="25" t="s">
        <v>46</v>
      </c>
      <c r="C8" s="24">
        <v>14.5</v>
      </c>
      <c r="D8" s="24">
        <v>14.12</v>
      </c>
      <c r="E8" s="24">
        <v>14.05</v>
      </c>
      <c r="F8" s="24">
        <v>13.38</v>
      </c>
      <c r="G8" s="24">
        <v>12.9</v>
      </c>
      <c r="H8" s="24">
        <v>12.56</v>
      </c>
      <c r="I8" s="24">
        <v>12.29</v>
      </c>
      <c r="J8" s="24">
        <v>12</v>
      </c>
      <c r="K8" s="24">
        <v>11</v>
      </c>
    </row>
    <row r="9" spans="2:11" ht="13.9" customHeight="1" x14ac:dyDescent="0.2">
      <c r="B9" s="25" t="s">
        <v>47</v>
      </c>
      <c r="C9" s="24">
        <v>14.06</v>
      </c>
      <c r="D9" s="24">
        <v>14.21</v>
      </c>
      <c r="E9" s="24">
        <v>14.12</v>
      </c>
      <c r="F9" s="24">
        <v>13.41</v>
      </c>
      <c r="G9" s="24">
        <v>12.88</v>
      </c>
      <c r="H9" s="24">
        <v>11.5</v>
      </c>
      <c r="I9" s="24">
        <v>10.73</v>
      </c>
      <c r="J9" s="24">
        <v>10</v>
      </c>
      <c r="K9" s="24">
        <v>10</v>
      </c>
    </row>
    <row r="10" spans="2:11" ht="13.9" customHeight="1" x14ac:dyDescent="0.2">
      <c r="B10" s="25" t="s">
        <v>48</v>
      </c>
      <c r="C10" s="24">
        <v>12.27</v>
      </c>
      <c r="D10" s="24">
        <v>12.35</v>
      </c>
      <c r="E10" s="24">
        <v>12.22</v>
      </c>
      <c r="F10" s="24">
        <v>12.15</v>
      </c>
      <c r="G10" s="24">
        <v>11.3</v>
      </c>
      <c r="H10" s="24">
        <v>9.77</v>
      </c>
      <c r="I10" s="24">
        <v>8.6300000000000008</v>
      </c>
      <c r="J10" s="24">
        <v>8</v>
      </c>
      <c r="K10" s="24">
        <v>8</v>
      </c>
    </row>
    <row r="11" spans="2:11" ht="13.9" customHeight="1" x14ac:dyDescent="0.2">
      <c r="B11" s="27" t="s">
        <v>55</v>
      </c>
      <c r="C11" s="28">
        <v>7.6899999999999995</v>
      </c>
      <c r="D11" s="28">
        <v>7.7299999999999995</v>
      </c>
      <c r="E11" s="28">
        <v>7.95</v>
      </c>
      <c r="F11" s="28">
        <v>7.75</v>
      </c>
      <c r="G11" s="28">
        <v>6.7600000000000007</v>
      </c>
      <c r="H11" s="28">
        <v>6.3</v>
      </c>
      <c r="I11" s="28">
        <v>5.88</v>
      </c>
      <c r="J11" s="28">
        <v>5</v>
      </c>
      <c r="K11" s="28">
        <v>5</v>
      </c>
    </row>
    <row r="12" spans="2:11" x14ac:dyDescent="0.2">
      <c r="B12" s="48" t="s">
        <v>54</v>
      </c>
      <c r="C12" s="56">
        <f t="shared" ref="C12:H12" si="0">C4</f>
        <v>10.37</v>
      </c>
      <c r="D12" s="56">
        <f t="shared" si="0"/>
        <v>10.81</v>
      </c>
      <c r="E12" s="56">
        <f t="shared" si="0"/>
        <v>11.65</v>
      </c>
      <c r="F12" s="56">
        <f t="shared" si="0"/>
        <v>13.64</v>
      </c>
      <c r="G12" s="56">
        <f t="shared" si="0"/>
        <v>14.27</v>
      </c>
      <c r="H12" s="56">
        <f t="shared" si="0"/>
        <v>15.96</v>
      </c>
      <c r="I12" s="56">
        <f t="shared" ref="I12" si="1">I4</f>
        <v>17.350000000000001</v>
      </c>
      <c r="J12" s="56">
        <v>20</v>
      </c>
      <c r="K12" s="56">
        <v>21</v>
      </c>
    </row>
    <row r="13" spans="2:11" x14ac:dyDescent="0.2">
      <c r="B13" s="23" t="s">
        <v>71</v>
      </c>
      <c r="C13" s="57">
        <f t="shared" ref="C13:H13" si="2">C5+C6</f>
        <v>26.28</v>
      </c>
      <c r="D13" s="57">
        <f t="shared" si="2"/>
        <v>25.91</v>
      </c>
      <c r="E13" s="57">
        <f t="shared" si="2"/>
        <v>25.12</v>
      </c>
      <c r="F13" s="57">
        <f t="shared" si="2"/>
        <v>25.7</v>
      </c>
      <c r="G13" s="57">
        <f t="shared" si="2"/>
        <v>27.95</v>
      </c>
      <c r="H13" s="57">
        <f t="shared" si="2"/>
        <v>29.6</v>
      </c>
      <c r="I13" s="57">
        <f t="shared" ref="I13" si="3">I5+I6</f>
        <v>30.68</v>
      </c>
      <c r="J13" s="57">
        <v>31</v>
      </c>
      <c r="K13" s="57">
        <v>32</v>
      </c>
    </row>
    <row r="14" spans="2:11" x14ac:dyDescent="0.2">
      <c r="B14" s="23" t="s">
        <v>72</v>
      </c>
      <c r="C14" s="57">
        <f t="shared" ref="C14:H14" si="4">C7+C8</f>
        <v>29.32</v>
      </c>
      <c r="D14" s="57">
        <f t="shared" si="4"/>
        <v>28.99</v>
      </c>
      <c r="E14" s="57">
        <f t="shared" si="4"/>
        <v>28.93</v>
      </c>
      <c r="F14" s="57">
        <f t="shared" si="4"/>
        <v>27.35</v>
      </c>
      <c r="G14" s="57">
        <f t="shared" si="4"/>
        <v>26.84</v>
      </c>
      <c r="H14" s="57">
        <f t="shared" si="4"/>
        <v>26.87</v>
      </c>
      <c r="I14" s="57">
        <f t="shared" ref="I14" si="5">I7+I8</f>
        <v>26.74</v>
      </c>
      <c r="J14" s="57">
        <v>26</v>
      </c>
      <c r="K14" s="57">
        <v>25</v>
      </c>
    </row>
    <row r="15" spans="2:11" x14ac:dyDescent="0.2">
      <c r="B15" s="23" t="s">
        <v>73</v>
      </c>
      <c r="C15" s="57">
        <f t="shared" ref="C15:H15" si="6">C9+C10</f>
        <v>26.33</v>
      </c>
      <c r="D15" s="57">
        <f t="shared" si="6"/>
        <v>26.560000000000002</v>
      </c>
      <c r="E15" s="57">
        <f t="shared" si="6"/>
        <v>26.34</v>
      </c>
      <c r="F15" s="57">
        <f t="shared" si="6"/>
        <v>25.560000000000002</v>
      </c>
      <c r="G15" s="57">
        <f t="shared" si="6"/>
        <v>24.18</v>
      </c>
      <c r="H15" s="57">
        <f t="shared" si="6"/>
        <v>21.27</v>
      </c>
      <c r="I15" s="57">
        <f t="shared" ref="I15" si="7">I9+I10</f>
        <v>19.36</v>
      </c>
      <c r="J15" s="57">
        <v>18</v>
      </c>
      <c r="K15" s="57">
        <v>17</v>
      </c>
    </row>
    <row r="16" spans="2:11" x14ac:dyDescent="0.2">
      <c r="B16" s="27" t="s">
        <v>55</v>
      </c>
      <c r="C16" s="58">
        <f t="shared" ref="C16:H16" si="8">C11</f>
        <v>7.6899999999999995</v>
      </c>
      <c r="D16" s="58">
        <f t="shared" si="8"/>
        <v>7.7299999999999995</v>
      </c>
      <c r="E16" s="58">
        <f t="shared" si="8"/>
        <v>7.95</v>
      </c>
      <c r="F16" s="58">
        <f t="shared" si="8"/>
        <v>7.75</v>
      </c>
      <c r="G16" s="58">
        <f t="shared" si="8"/>
        <v>6.7600000000000007</v>
      </c>
      <c r="H16" s="58">
        <f t="shared" si="8"/>
        <v>6.3</v>
      </c>
      <c r="I16" s="58">
        <f t="shared" ref="I16" si="9">I11</f>
        <v>5.88</v>
      </c>
      <c r="J16" s="58">
        <v>5</v>
      </c>
      <c r="K16" s="58">
        <v>5</v>
      </c>
    </row>
    <row r="17" spans="2:11" s="142" customFormat="1" ht="13.9" customHeight="1" x14ac:dyDescent="0.2">
      <c r="B17" s="141" t="s">
        <v>49</v>
      </c>
      <c r="C17" s="139">
        <v>21</v>
      </c>
      <c r="D17" s="139">
        <v>21</v>
      </c>
      <c r="E17" s="139">
        <v>21</v>
      </c>
      <c r="F17" s="139">
        <v>21</v>
      </c>
      <c r="G17" s="139">
        <v>21</v>
      </c>
      <c r="H17" s="139">
        <v>21</v>
      </c>
      <c r="I17" s="139">
        <v>20</v>
      </c>
      <c r="J17" s="139">
        <v>21</v>
      </c>
      <c r="K17" s="139">
        <v>21</v>
      </c>
    </row>
    <row r="18" spans="2:11" s="142" customFormat="1" ht="13.9" customHeight="1" x14ac:dyDescent="0.2">
      <c r="B18" s="143" t="s">
        <v>50</v>
      </c>
      <c r="C18" s="144">
        <v>22</v>
      </c>
      <c r="D18" s="144">
        <v>22</v>
      </c>
      <c r="E18" s="144">
        <v>22</v>
      </c>
      <c r="F18" s="144">
        <v>22</v>
      </c>
      <c r="G18" s="144">
        <v>21</v>
      </c>
      <c r="H18" s="144">
        <v>21</v>
      </c>
      <c r="I18" s="144">
        <v>21</v>
      </c>
      <c r="J18" s="144">
        <v>21</v>
      </c>
      <c r="K18" s="144">
        <v>21</v>
      </c>
    </row>
    <row r="19" spans="2:11" x14ac:dyDescent="0.2">
      <c r="B19" s="6" t="s">
        <v>357</v>
      </c>
    </row>
    <row r="20" spans="2:11" x14ac:dyDescent="0.2">
      <c r="B20" s="197" t="s">
        <v>342</v>
      </c>
      <c r="C20" s="197"/>
      <c r="D20" s="197"/>
      <c r="E20" s="197"/>
      <c r="F20" s="197"/>
      <c r="G20" s="197"/>
      <c r="H20" s="197"/>
    </row>
    <row r="21" spans="2:11" x14ac:dyDescent="0.2">
      <c r="B21" s="197"/>
      <c r="C21" s="197"/>
      <c r="D21" s="197"/>
      <c r="E21" s="197"/>
      <c r="F21" s="197"/>
      <c r="G21" s="197"/>
      <c r="H21" s="197"/>
    </row>
    <row r="23" spans="2:11" ht="12.75" x14ac:dyDescent="0.2">
      <c r="C23" s="44" t="s">
        <v>74</v>
      </c>
      <c r="J23" s="1"/>
    </row>
    <row r="24" spans="2:11" x14ac:dyDescent="0.2">
      <c r="J24" s="1"/>
    </row>
    <row r="25" spans="2:11" x14ac:dyDescent="0.2">
      <c r="J25" s="1"/>
    </row>
    <row r="26" spans="2:11" x14ac:dyDescent="0.2">
      <c r="J26" s="1"/>
    </row>
    <row r="27" spans="2:11" x14ac:dyDescent="0.2">
      <c r="J27" s="1"/>
    </row>
    <row r="28" spans="2:11" x14ac:dyDescent="0.2">
      <c r="J28" s="1"/>
    </row>
    <row r="29" spans="2:11" x14ac:dyDescent="0.2">
      <c r="J29" s="1"/>
    </row>
    <row r="30" spans="2:11" x14ac:dyDescent="0.2">
      <c r="J30" s="1"/>
    </row>
    <row r="31" spans="2:11" x14ac:dyDescent="0.2">
      <c r="J31" s="1"/>
    </row>
    <row r="32" spans="2:11" x14ac:dyDescent="0.2">
      <c r="J32" s="1"/>
    </row>
    <row r="33" spans="3:10" x14ac:dyDescent="0.2">
      <c r="J33" s="1"/>
    </row>
    <row r="34" spans="3:10" x14ac:dyDescent="0.2">
      <c r="J34" s="1"/>
    </row>
    <row r="35" spans="3:10" x14ac:dyDescent="0.2">
      <c r="J35" s="1"/>
    </row>
    <row r="36" spans="3:10" x14ac:dyDescent="0.2">
      <c r="J36" s="1"/>
    </row>
    <row r="37" spans="3:10" x14ac:dyDescent="0.2">
      <c r="J37" s="1"/>
    </row>
    <row r="38" spans="3:10" x14ac:dyDescent="0.2">
      <c r="J38" s="1"/>
    </row>
    <row r="39" spans="3:10" x14ac:dyDescent="0.2">
      <c r="J39" s="1"/>
    </row>
    <row r="40" spans="3:10" x14ac:dyDescent="0.2">
      <c r="J40" s="1"/>
    </row>
    <row r="41" spans="3:10" x14ac:dyDescent="0.2">
      <c r="J41" s="1"/>
    </row>
    <row r="42" spans="3:10" x14ac:dyDescent="0.2">
      <c r="J42" s="1"/>
    </row>
    <row r="43" spans="3:10" x14ac:dyDescent="0.2">
      <c r="J43" s="1"/>
    </row>
    <row r="44" spans="3:10" x14ac:dyDescent="0.2">
      <c r="J44" s="1"/>
    </row>
    <row r="45" spans="3:10" x14ac:dyDescent="0.2">
      <c r="C45" s="6" t="s">
        <v>357</v>
      </c>
      <c r="J45" s="1"/>
    </row>
    <row r="46" spans="3:10" x14ac:dyDescent="0.2">
      <c r="C46" s="197" t="s">
        <v>343</v>
      </c>
      <c r="D46" s="197"/>
      <c r="E46" s="197"/>
      <c r="F46" s="197"/>
      <c r="G46" s="197"/>
      <c r="H46" s="197"/>
      <c r="I46" s="197"/>
      <c r="J46" s="1"/>
    </row>
    <row r="47" spans="3:10" x14ac:dyDescent="0.2">
      <c r="C47" s="197"/>
      <c r="D47" s="197"/>
      <c r="E47" s="197"/>
      <c r="F47" s="197"/>
      <c r="G47" s="197"/>
      <c r="H47" s="197"/>
      <c r="I47" s="197"/>
    </row>
  </sheetData>
  <mergeCells count="2">
    <mergeCell ref="B20:H21"/>
    <mergeCell ref="C46:I47"/>
  </mergeCells>
  <hyperlinks>
    <hyperlink ref="B1" location="Sommaire!A1" display="Retour au sommaire"/>
  </hyperlinks>
  <pageMargins left="0.7" right="0.7" top="0.75" bottom="0.75" header="0.3" footer="0.3"/>
  <pageSetup paperSize="9" scale="87"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54"/>
  <sheetViews>
    <sheetView showGridLines="0" zoomScaleNormal="100" workbookViewId="0">
      <selection activeCell="G31" sqref="G31"/>
    </sheetView>
  </sheetViews>
  <sheetFormatPr baseColWidth="10" defaultRowHeight="15" x14ac:dyDescent="0.25"/>
  <cols>
    <col min="1" max="1" width="2.85546875" style="95" customWidth="1"/>
    <col min="2" max="2" width="21.7109375" customWidth="1"/>
    <col min="3" max="3" width="4.28515625" style="95" customWidth="1"/>
    <col min="4" max="6" width="10.5703125" customWidth="1"/>
  </cols>
  <sheetData>
    <row r="1" spans="2:17" s="95" customFormat="1" x14ac:dyDescent="0.25">
      <c r="B1" s="112" t="s">
        <v>304</v>
      </c>
      <c r="G1" s="37"/>
    </row>
    <row r="2" spans="2:17" s="41" customFormat="1" ht="18" customHeight="1" x14ac:dyDescent="0.25">
      <c r="B2" s="61" t="s">
        <v>330</v>
      </c>
      <c r="C2" s="61"/>
      <c r="D2" s="61"/>
    </row>
    <row r="3" spans="2:17" ht="65.25" customHeight="1" x14ac:dyDescent="0.25">
      <c r="B3" s="99" t="s">
        <v>31</v>
      </c>
      <c r="C3" s="106"/>
      <c r="D3" s="21" t="s">
        <v>328</v>
      </c>
      <c r="E3" s="172" t="s">
        <v>331</v>
      </c>
      <c r="F3" s="180" t="s">
        <v>332</v>
      </c>
      <c r="H3" s="120"/>
      <c r="I3" s="120"/>
      <c r="J3" s="161"/>
      <c r="K3" s="161"/>
      <c r="L3" s="161"/>
      <c r="M3" s="161"/>
      <c r="N3" s="161"/>
      <c r="O3" s="161"/>
      <c r="P3" s="161"/>
      <c r="Q3" s="161"/>
    </row>
    <row r="4" spans="2:17" x14ac:dyDescent="0.25">
      <c r="B4" s="102" t="s">
        <v>19</v>
      </c>
      <c r="C4" s="103" t="s">
        <v>106</v>
      </c>
      <c r="D4" s="100">
        <f>4930+3021</f>
        <v>7951</v>
      </c>
      <c r="E4" s="177">
        <v>1459</v>
      </c>
      <c r="F4" s="110">
        <v>335.51027917030768</v>
      </c>
      <c r="H4" s="80"/>
      <c r="I4" s="161"/>
      <c r="J4" s="80"/>
      <c r="K4" s="161"/>
      <c r="L4" s="80"/>
      <c r="M4" s="161"/>
      <c r="N4" s="161"/>
      <c r="O4" s="161"/>
      <c r="P4" s="161"/>
      <c r="Q4" s="161"/>
    </row>
    <row r="5" spans="2:17" x14ac:dyDescent="0.25">
      <c r="B5" s="102" t="s">
        <v>20</v>
      </c>
      <c r="C5" s="103" t="s">
        <v>107</v>
      </c>
      <c r="D5" s="100">
        <f>3993+1505</f>
        <v>5498</v>
      </c>
      <c r="E5" s="177">
        <v>795</v>
      </c>
      <c r="F5" s="110">
        <v>204.42798734860756</v>
      </c>
      <c r="H5" s="80"/>
      <c r="I5" s="161"/>
      <c r="J5" s="80"/>
      <c r="K5" s="161"/>
      <c r="L5" s="80"/>
      <c r="M5" s="161"/>
      <c r="N5" s="161"/>
      <c r="O5" s="161"/>
      <c r="P5" s="161"/>
      <c r="Q5" s="161"/>
    </row>
    <row r="6" spans="2:17" x14ac:dyDescent="0.25">
      <c r="B6" s="102" t="s">
        <v>21</v>
      </c>
      <c r="C6" s="103" t="s">
        <v>108</v>
      </c>
      <c r="D6" s="100">
        <f>3199+1850</f>
        <v>5049</v>
      </c>
      <c r="E6" s="177">
        <v>966</v>
      </c>
      <c r="F6" s="110">
        <v>205.39207348188467</v>
      </c>
      <c r="H6" s="80"/>
      <c r="I6" s="161"/>
      <c r="J6" s="80"/>
      <c r="K6" s="161"/>
      <c r="L6" s="80"/>
      <c r="M6" s="161"/>
      <c r="N6" s="161"/>
      <c r="O6" s="161"/>
      <c r="P6" s="161"/>
      <c r="Q6" s="161"/>
    </row>
    <row r="7" spans="2:17" x14ac:dyDescent="0.25">
      <c r="B7" s="102" t="s">
        <v>22</v>
      </c>
      <c r="C7" s="103" t="s">
        <v>109</v>
      </c>
      <c r="D7" s="100">
        <f>7051+4764</f>
        <v>11815</v>
      </c>
      <c r="E7" s="177">
        <v>2449</v>
      </c>
      <c r="F7" s="110">
        <v>210.88616969060271</v>
      </c>
      <c r="H7" s="80"/>
      <c r="I7" s="161"/>
      <c r="J7" s="80"/>
      <c r="K7" s="161"/>
      <c r="L7" s="80"/>
      <c r="M7" s="161"/>
      <c r="N7" s="161"/>
      <c r="O7" s="161"/>
      <c r="P7" s="161"/>
      <c r="Q7" s="161"/>
    </row>
    <row r="8" spans="2:17" x14ac:dyDescent="0.25">
      <c r="B8" s="102" t="s">
        <v>23</v>
      </c>
      <c r="C8" s="103" t="s">
        <v>110</v>
      </c>
      <c r="D8" s="100">
        <f>1545+1281</f>
        <v>2826</v>
      </c>
      <c r="E8" s="177">
        <v>662</v>
      </c>
      <c r="F8" s="110">
        <v>149.44916019505146</v>
      </c>
      <c r="H8" s="80"/>
      <c r="I8" s="161"/>
      <c r="J8" s="80"/>
      <c r="K8" s="161"/>
      <c r="L8" s="80"/>
      <c r="M8" s="161"/>
      <c r="N8" s="161"/>
      <c r="O8" s="161"/>
      <c r="P8" s="161"/>
      <c r="Q8" s="161"/>
    </row>
    <row r="9" spans="2:17" x14ac:dyDescent="0.25">
      <c r="B9" s="102" t="s">
        <v>24</v>
      </c>
      <c r="C9" s="103" t="s">
        <v>111</v>
      </c>
      <c r="D9" s="100">
        <f>35820+22267</f>
        <v>58087</v>
      </c>
      <c r="E9" s="177">
        <v>11024</v>
      </c>
      <c r="F9" s="110">
        <v>71.371321211085345</v>
      </c>
      <c r="H9" s="80"/>
      <c r="I9" s="161"/>
      <c r="J9" s="80"/>
      <c r="K9" s="161"/>
      <c r="L9" s="80"/>
      <c r="M9" s="161"/>
      <c r="N9" s="161"/>
      <c r="O9" s="161"/>
      <c r="P9" s="161"/>
      <c r="Q9" s="161"/>
    </row>
    <row r="10" spans="2:17" x14ac:dyDescent="0.25">
      <c r="B10" s="102" t="s">
        <v>25</v>
      </c>
      <c r="C10" s="103" t="s">
        <v>112</v>
      </c>
      <c r="D10" s="100">
        <f>8556+6140</f>
        <v>14696</v>
      </c>
      <c r="E10" s="177">
        <v>3076</v>
      </c>
      <c r="F10" s="110">
        <v>110.77060473691981</v>
      </c>
      <c r="H10" s="80"/>
      <c r="I10" s="161"/>
      <c r="J10" s="80"/>
      <c r="K10" s="161"/>
      <c r="L10" s="80"/>
      <c r="M10" s="161"/>
      <c r="N10" s="161"/>
      <c r="O10" s="161"/>
      <c r="P10" s="161"/>
      <c r="Q10" s="161"/>
    </row>
    <row r="11" spans="2:17" x14ac:dyDescent="0.25">
      <c r="B11" s="102" t="s">
        <v>32</v>
      </c>
      <c r="C11" s="103" t="s">
        <v>113</v>
      </c>
      <c r="D11" s="100">
        <f>11200+7129</f>
        <v>18329</v>
      </c>
      <c r="E11" s="177">
        <v>3569</v>
      </c>
      <c r="F11" s="110">
        <v>116.59740734932832</v>
      </c>
      <c r="H11" s="80"/>
      <c r="I11" s="161"/>
      <c r="J11" s="80"/>
      <c r="K11" s="161"/>
      <c r="L11" s="80"/>
      <c r="M11" s="161"/>
      <c r="N11" s="161"/>
      <c r="O11" s="161"/>
      <c r="P11" s="161"/>
      <c r="Q11" s="161"/>
    </row>
    <row r="12" spans="2:17" x14ac:dyDescent="0.25">
      <c r="B12" s="102" t="s">
        <v>26</v>
      </c>
      <c r="C12" s="103" t="s">
        <v>114</v>
      </c>
      <c r="D12" s="100">
        <f>10675+7923</f>
        <v>18598</v>
      </c>
      <c r="E12" s="177">
        <v>3981</v>
      </c>
      <c r="F12" s="110">
        <v>104.13914517483396</v>
      </c>
      <c r="H12" s="80"/>
      <c r="I12" s="161"/>
      <c r="J12" s="80"/>
      <c r="K12" s="161"/>
      <c r="L12" s="80"/>
      <c r="M12" s="161"/>
      <c r="N12" s="161"/>
      <c r="O12" s="161"/>
      <c r="P12" s="161"/>
      <c r="Q12" s="161"/>
    </row>
    <row r="13" spans="2:17" x14ac:dyDescent="0.25">
      <c r="B13" s="102" t="s">
        <v>33</v>
      </c>
      <c r="C13" s="103" t="s">
        <v>115</v>
      </c>
      <c r="D13" s="100">
        <f>31433+19407</f>
        <v>50840</v>
      </c>
      <c r="E13" s="177">
        <v>9380</v>
      </c>
      <c r="F13" s="110">
        <v>124.70286683648237</v>
      </c>
      <c r="H13" s="80"/>
      <c r="I13" s="161"/>
      <c r="J13" s="80"/>
      <c r="K13" s="161"/>
      <c r="L13" s="80"/>
      <c r="M13" s="161"/>
      <c r="N13" s="161"/>
      <c r="O13" s="161"/>
      <c r="P13" s="161"/>
      <c r="Q13" s="161"/>
    </row>
    <row r="14" spans="2:17" x14ac:dyDescent="0.25">
      <c r="B14" s="102" t="s">
        <v>34</v>
      </c>
      <c r="C14" s="103" t="s">
        <v>123</v>
      </c>
      <c r="D14" s="100">
        <f>21844+13787</f>
        <v>35631</v>
      </c>
      <c r="E14" s="177">
        <v>6897</v>
      </c>
      <c r="F14" s="110">
        <v>106.85270222536207</v>
      </c>
      <c r="H14" s="80"/>
      <c r="I14" s="161"/>
      <c r="J14" s="80"/>
      <c r="K14" s="161"/>
      <c r="L14" s="80"/>
      <c r="M14" s="161"/>
      <c r="N14" s="161"/>
      <c r="O14" s="161"/>
      <c r="P14" s="161"/>
      <c r="Q14" s="161"/>
    </row>
    <row r="15" spans="2:17" x14ac:dyDescent="0.25">
      <c r="B15" s="102" t="s">
        <v>27</v>
      </c>
      <c r="C15" s="103" t="s">
        <v>116</v>
      </c>
      <c r="D15" s="100">
        <f>12910+8236</f>
        <v>21146</v>
      </c>
      <c r="E15" s="177">
        <v>4172</v>
      </c>
      <c r="F15" s="110">
        <v>93.690699423977364</v>
      </c>
      <c r="H15" s="80"/>
      <c r="I15" s="161"/>
      <c r="J15" s="80"/>
      <c r="K15" s="161"/>
      <c r="L15" s="80"/>
      <c r="M15" s="161"/>
      <c r="N15" s="161"/>
      <c r="O15" s="161"/>
      <c r="P15" s="161"/>
      <c r="Q15" s="161"/>
    </row>
    <row r="16" spans="2:17" x14ac:dyDescent="0.25">
      <c r="B16" s="102" t="s">
        <v>28</v>
      </c>
      <c r="C16" s="103" t="s">
        <v>117</v>
      </c>
      <c r="D16" s="100">
        <f>9924+6210</f>
        <v>16134</v>
      </c>
      <c r="E16" s="177">
        <v>3095</v>
      </c>
      <c r="F16" s="110">
        <v>80.818262054846741</v>
      </c>
      <c r="H16" s="80"/>
      <c r="I16" s="161"/>
      <c r="J16" s="80"/>
      <c r="K16" s="161"/>
      <c r="L16" s="80"/>
      <c r="M16" s="161"/>
      <c r="N16" s="161"/>
      <c r="O16" s="161"/>
      <c r="P16" s="161"/>
      <c r="Q16" s="161"/>
    </row>
    <row r="17" spans="2:17" x14ac:dyDescent="0.25">
      <c r="B17" s="102" t="s">
        <v>35</v>
      </c>
      <c r="C17" s="103" t="s">
        <v>118</v>
      </c>
      <c r="D17" s="100">
        <f>25047+15477</f>
        <v>40524</v>
      </c>
      <c r="E17" s="177">
        <v>7295</v>
      </c>
      <c r="F17" s="110">
        <v>111.81773173247741</v>
      </c>
      <c r="H17" s="80"/>
      <c r="I17" s="161"/>
      <c r="J17" s="80"/>
      <c r="K17" s="161"/>
      <c r="L17" s="80"/>
      <c r="M17" s="161"/>
      <c r="N17" s="161"/>
      <c r="O17" s="161"/>
      <c r="P17" s="161"/>
      <c r="Q17" s="161"/>
    </row>
    <row r="18" spans="2:17" x14ac:dyDescent="0.25">
      <c r="B18" s="102" t="s">
        <v>36</v>
      </c>
      <c r="C18" s="103" t="s">
        <v>119</v>
      </c>
      <c r="D18" s="100">
        <f>23659+15838</f>
        <v>39497</v>
      </c>
      <c r="E18" s="177">
        <v>7690</v>
      </c>
      <c r="F18" s="110">
        <v>114.06364721849344</v>
      </c>
      <c r="H18" s="80"/>
      <c r="I18" s="161"/>
      <c r="J18" s="80"/>
      <c r="K18" s="161"/>
      <c r="L18" s="80"/>
      <c r="M18" s="161"/>
      <c r="N18" s="161"/>
      <c r="O18" s="161"/>
      <c r="P18" s="161"/>
      <c r="Q18" s="161"/>
    </row>
    <row r="19" spans="2:17" x14ac:dyDescent="0.25">
      <c r="B19" s="102" t="s">
        <v>37</v>
      </c>
      <c r="C19" s="103" t="s">
        <v>120</v>
      </c>
      <c r="D19" s="100">
        <f>25097+15779</f>
        <v>40876</v>
      </c>
      <c r="E19" s="177">
        <v>7660</v>
      </c>
      <c r="F19" s="110">
        <v>81.404060638586159</v>
      </c>
      <c r="H19" s="80"/>
      <c r="I19" s="161"/>
      <c r="J19" s="80"/>
      <c r="K19" s="161"/>
      <c r="L19" s="80"/>
      <c r="M19" s="161"/>
      <c r="N19" s="161"/>
      <c r="O19" s="161"/>
      <c r="P19" s="161"/>
      <c r="Q19" s="161"/>
    </row>
    <row r="20" spans="2:17" ht="15" customHeight="1" x14ac:dyDescent="0.25">
      <c r="B20" s="102" t="s">
        <v>29</v>
      </c>
      <c r="C20" s="103" t="s">
        <v>121</v>
      </c>
      <c r="D20" s="100">
        <f>20266+11501</f>
        <v>31767</v>
      </c>
      <c r="E20" s="177">
        <v>5561</v>
      </c>
      <c r="F20" s="110">
        <v>102.6964038714753</v>
      </c>
      <c r="H20" s="80"/>
      <c r="I20" s="161"/>
      <c r="J20" s="80"/>
      <c r="K20" s="161"/>
      <c r="L20" s="80"/>
      <c r="M20" s="161"/>
      <c r="N20" s="161"/>
      <c r="O20" s="161"/>
      <c r="P20" s="161"/>
      <c r="Q20" s="161"/>
    </row>
    <row r="21" spans="2:17" ht="14.45" customHeight="1" x14ac:dyDescent="0.25">
      <c r="B21" s="104" t="s">
        <v>30</v>
      </c>
      <c r="C21" s="105" t="s">
        <v>122</v>
      </c>
      <c r="D21" s="101">
        <f>843+525</f>
        <v>1368</v>
      </c>
      <c r="E21" s="178">
        <v>233</v>
      </c>
      <c r="F21" s="111">
        <v>71.062583872148352</v>
      </c>
      <c r="H21" s="166"/>
      <c r="I21" s="153"/>
      <c r="J21" s="166"/>
      <c r="K21" s="153"/>
      <c r="L21" s="153"/>
      <c r="M21" s="153"/>
      <c r="N21" s="153"/>
      <c r="O21" s="153"/>
      <c r="P21" s="153"/>
      <c r="Q21" s="153"/>
    </row>
    <row r="22" spans="2:17" s="95" customFormat="1" ht="14.45" customHeight="1" x14ac:dyDescent="0.25">
      <c r="B22" s="154" t="s">
        <v>312</v>
      </c>
      <c r="C22" s="121"/>
      <c r="D22" s="156">
        <f>SUM(D4:D21)</f>
        <v>420632</v>
      </c>
      <c r="E22" s="179">
        <f>SUM(E4:E21)</f>
        <v>79964</v>
      </c>
      <c r="F22" s="181">
        <v>101.62855553469821</v>
      </c>
      <c r="H22" s="153"/>
      <c r="I22" s="153"/>
      <c r="J22" s="153"/>
      <c r="K22" s="153"/>
      <c r="L22" s="153"/>
      <c r="M22" s="153"/>
      <c r="N22" s="153"/>
      <c r="O22" s="153"/>
      <c r="P22" s="153"/>
      <c r="Q22" s="153"/>
    </row>
    <row r="23" spans="2:17" x14ac:dyDescent="0.25">
      <c r="B23" s="60" t="s">
        <v>357</v>
      </c>
      <c r="C23" s="60"/>
      <c r="E23" s="1"/>
      <c r="F23" s="1"/>
      <c r="H23" s="153"/>
      <c r="I23" s="153"/>
      <c r="J23" s="153"/>
      <c r="K23" s="153"/>
      <c r="L23" s="153"/>
      <c r="M23" s="153"/>
      <c r="N23" s="153"/>
      <c r="O23" s="153"/>
      <c r="P23" s="153"/>
      <c r="Q23" s="153"/>
    </row>
    <row r="24" spans="2:17" x14ac:dyDescent="0.25">
      <c r="B24" s="198" t="s">
        <v>344</v>
      </c>
      <c r="C24" s="198"/>
      <c r="D24" s="198"/>
      <c r="E24" s="198"/>
      <c r="F24" s="198"/>
      <c r="H24" s="153"/>
      <c r="I24" s="153"/>
      <c r="J24" s="153"/>
      <c r="K24" s="153"/>
      <c r="L24" s="153"/>
      <c r="M24" s="153"/>
      <c r="N24" s="153"/>
      <c r="O24" s="153"/>
      <c r="P24" s="153"/>
      <c r="Q24" s="153"/>
    </row>
    <row r="25" spans="2:17" ht="18" customHeight="1" x14ac:dyDescent="0.25">
      <c r="B25" s="198"/>
      <c r="C25" s="198"/>
      <c r="D25" s="198"/>
      <c r="E25" s="198"/>
      <c r="F25" s="198"/>
      <c r="H25" s="153"/>
      <c r="I25" s="157"/>
      <c r="J25" s="157"/>
      <c r="K25" s="158"/>
      <c r="L25" s="153"/>
      <c r="M25" s="157"/>
      <c r="N25" s="157"/>
      <c r="O25" s="158"/>
      <c r="P25" s="153"/>
      <c r="Q25" s="153"/>
    </row>
    <row r="26" spans="2:17" ht="15" customHeight="1" x14ac:dyDescent="0.25">
      <c r="B26" s="86"/>
      <c r="D26" s="86"/>
      <c r="E26" s="87"/>
      <c r="F26" s="86"/>
      <c r="H26" s="153"/>
      <c r="I26" s="157"/>
      <c r="J26" s="157"/>
      <c r="K26" s="158"/>
      <c r="L26" s="153"/>
      <c r="M26" s="157"/>
      <c r="N26" s="157"/>
      <c r="O26" s="158"/>
      <c r="P26" s="153"/>
      <c r="Q26" s="153"/>
    </row>
    <row r="27" spans="2:17" x14ac:dyDescent="0.25">
      <c r="B27" s="79"/>
      <c r="D27" s="79"/>
      <c r="E27" s="87"/>
      <c r="F27" s="86"/>
      <c r="H27" s="153"/>
      <c r="I27" s="157"/>
      <c r="J27" s="157"/>
      <c r="K27" s="158"/>
      <c r="L27" s="153"/>
      <c r="M27" s="157"/>
      <c r="N27" s="157"/>
      <c r="O27" s="158"/>
      <c r="P27" s="153"/>
      <c r="Q27" s="153"/>
    </row>
    <row r="28" spans="2:17" x14ac:dyDescent="0.25">
      <c r="B28" s="79"/>
      <c r="D28" s="79"/>
      <c r="E28" s="87"/>
      <c r="H28" s="153"/>
      <c r="I28" s="153"/>
      <c r="J28" s="153"/>
      <c r="K28" s="153"/>
      <c r="L28" s="153"/>
      <c r="M28" s="153"/>
      <c r="N28" s="153"/>
      <c r="O28" s="153"/>
      <c r="P28" s="153"/>
      <c r="Q28" s="153"/>
    </row>
    <row r="29" spans="2:17" x14ac:dyDescent="0.25">
      <c r="B29" s="79"/>
      <c r="D29" s="79"/>
      <c r="E29" s="87"/>
      <c r="H29" s="153"/>
      <c r="I29" s="153"/>
      <c r="J29" s="153"/>
      <c r="K29" s="153"/>
      <c r="L29" s="153"/>
      <c r="M29" s="153"/>
      <c r="N29" s="153"/>
      <c r="O29" s="153"/>
      <c r="P29" s="153"/>
      <c r="Q29" s="153"/>
    </row>
    <row r="30" spans="2:17" x14ac:dyDescent="0.25">
      <c r="E30" s="87"/>
      <c r="H30" s="153"/>
      <c r="I30" s="153"/>
      <c r="J30" s="153"/>
      <c r="K30" s="153"/>
      <c r="L30" s="153"/>
      <c r="M30" s="153"/>
      <c r="N30" s="153"/>
      <c r="O30" s="153"/>
      <c r="P30" s="153"/>
      <c r="Q30" s="153"/>
    </row>
    <row r="31" spans="2:17" x14ac:dyDescent="0.25">
      <c r="E31" s="87"/>
      <c r="H31" s="153"/>
      <c r="I31" s="153"/>
      <c r="J31" s="153"/>
      <c r="K31" s="153"/>
      <c r="L31" s="153"/>
      <c r="M31" s="153"/>
      <c r="N31" s="153"/>
      <c r="O31" s="153"/>
      <c r="P31" s="153"/>
      <c r="Q31" s="153"/>
    </row>
    <row r="32" spans="2:17" x14ac:dyDescent="0.25">
      <c r="E32" s="87"/>
      <c r="H32" s="153"/>
      <c r="I32" s="153"/>
      <c r="J32" s="153"/>
      <c r="K32" s="153"/>
      <c r="L32" s="153"/>
      <c r="M32" s="153"/>
      <c r="N32" s="153"/>
      <c r="O32" s="153"/>
      <c r="P32" s="153"/>
      <c r="Q32" s="153"/>
    </row>
    <row r="33" spans="2:17" x14ac:dyDescent="0.25">
      <c r="E33" s="87"/>
      <c r="H33" s="153"/>
      <c r="I33" s="153"/>
      <c r="J33" s="153"/>
      <c r="K33" s="153"/>
      <c r="L33" s="153"/>
      <c r="M33" s="153"/>
      <c r="N33" s="153"/>
      <c r="O33" s="153"/>
      <c r="P33" s="153"/>
      <c r="Q33" s="153"/>
    </row>
    <row r="34" spans="2:17" x14ac:dyDescent="0.25">
      <c r="E34" s="87"/>
      <c r="H34" s="60" t="s">
        <v>357</v>
      </c>
      <c r="I34" s="161"/>
      <c r="J34" s="161"/>
      <c r="K34" s="161"/>
      <c r="L34" s="161"/>
      <c r="M34" s="161"/>
      <c r="N34" s="153"/>
      <c r="O34" s="153"/>
      <c r="P34" s="153"/>
      <c r="Q34" s="153"/>
    </row>
    <row r="35" spans="2:17" x14ac:dyDescent="0.25">
      <c r="E35" s="87"/>
      <c r="H35" s="198" t="s">
        <v>356</v>
      </c>
      <c r="I35" s="198"/>
      <c r="J35" s="198"/>
      <c r="K35" s="198"/>
      <c r="L35" s="198"/>
      <c r="M35" s="198"/>
      <c r="N35" s="161"/>
      <c r="O35" s="161"/>
      <c r="P35" s="161"/>
      <c r="Q35" s="161"/>
    </row>
    <row r="36" spans="2:17" x14ac:dyDescent="0.25">
      <c r="E36" s="87"/>
      <c r="H36" s="198"/>
      <c r="I36" s="198"/>
      <c r="J36" s="198"/>
      <c r="K36" s="198"/>
      <c r="L36" s="198"/>
      <c r="M36" s="198"/>
      <c r="N36" s="161"/>
      <c r="O36" s="161"/>
      <c r="P36" s="161"/>
      <c r="Q36" s="161"/>
    </row>
    <row r="37" spans="2:17" x14ac:dyDescent="0.25">
      <c r="E37" s="87"/>
    </row>
    <row r="38" spans="2:17" x14ac:dyDescent="0.25">
      <c r="E38" s="87"/>
    </row>
    <row r="39" spans="2:17" x14ac:dyDescent="0.25">
      <c r="E39" s="87"/>
    </row>
    <row r="40" spans="2:17" x14ac:dyDescent="0.25">
      <c r="E40" s="87"/>
    </row>
    <row r="41" spans="2:17" x14ac:dyDescent="0.25">
      <c r="E41" s="87"/>
    </row>
    <row r="42" spans="2:17" x14ac:dyDescent="0.25">
      <c r="E42" s="87"/>
    </row>
    <row r="43" spans="2:17" x14ac:dyDescent="0.25">
      <c r="E43" s="87"/>
    </row>
    <row r="44" spans="2:17" x14ac:dyDescent="0.25">
      <c r="E44" s="87"/>
    </row>
    <row r="45" spans="2:17" x14ac:dyDescent="0.25">
      <c r="B45" s="80"/>
      <c r="C45" s="80"/>
      <c r="D45" s="86"/>
      <c r="E45" s="86"/>
      <c r="F45" s="86"/>
    </row>
    <row r="46" spans="2:17" x14ac:dyDescent="0.25">
      <c r="B46" s="79"/>
      <c r="D46" s="79"/>
      <c r="E46" s="85"/>
      <c r="F46" s="86"/>
    </row>
    <row r="48" spans="2:17" x14ac:dyDescent="0.25">
      <c r="C48" s="122"/>
      <c r="D48" s="37"/>
      <c r="E48" s="119"/>
      <c r="F48" s="119"/>
    </row>
    <row r="49" spans="2:7" ht="15" customHeight="1" x14ac:dyDescent="0.25">
      <c r="C49" s="159"/>
      <c r="D49" s="159"/>
      <c r="E49" s="159"/>
      <c r="F49" s="159"/>
    </row>
    <row r="50" spans="2:7" x14ac:dyDescent="0.25">
      <c r="B50" s="159"/>
      <c r="C50" s="159"/>
      <c r="D50" s="159"/>
      <c r="E50" s="159"/>
      <c r="F50" s="159"/>
    </row>
    <row r="52" spans="2:7" x14ac:dyDescent="0.25">
      <c r="B52" s="60"/>
    </row>
    <row r="53" spans="2:7" ht="15" customHeight="1" x14ac:dyDescent="0.25">
      <c r="B53" s="198"/>
      <c r="C53" s="198"/>
      <c r="D53" s="198"/>
      <c r="E53" s="198"/>
      <c r="F53" s="198"/>
      <c r="G53" s="198"/>
    </row>
    <row r="54" spans="2:7" x14ac:dyDescent="0.25">
      <c r="B54" s="198"/>
      <c r="C54" s="198"/>
      <c r="D54" s="198"/>
      <c r="E54" s="198"/>
      <c r="F54" s="198"/>
      <c r="G54" s="198"/>
    </row>
  </sheetData>
  <sortState ref="B3:D20">
    <sortCondition ref="B3:B20"/>
  </sortState>
  <mergeCells count="3">
    <mergeCell ref="B24:F25"/>
    <mergeCell ref="B53:G54"/>
    <mergeCell ref="H35:M36"/>
  </mergeCells>
  <hyperlinks>
    <hyperlink ref="B1" location="Sommaire!A1" display="Retour au sommaire"/>
  </hyperlinks>
  <pageMargins left="0.7" right="0.7" top="0.75" bottom="0.75" header="0.3" footer="0.3"/>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3"/>
  <sheetViews>
    <sheetView showGridLines="0" topLeftCell="A79" zoomScaleNormal="100" workbookViewId="0">
      <selection activeCell="J117" sqref="J117"/>
    </sheetView>
  </sheetViews>
  <sheetFormatPr baseColWidth="10" defaultRowHeight="15" x14ac:dyDescent="0.25"/>
  <cols>
    <col min="1" max="1" width="2.85546875" style="95" customWidth="1"/>
    <col min="2" max="2" width="21.7109375" style="95" customWidth="1"/>
    <col min="3" max="3" width="4.28515625" style="95" customWidth="1"/>
    <col min="4" max="6" width="10.5703125" style="95" customWidth="1"/>
    <col min="7" max="16384" width="11.42578125" style="95"/>
  </cols>
  <sheetData>
    <row r="1" spans="2:18" x14ac:dyDescent="0.25">
      <c r="B1" s="112" t="s">
        <v>304</v>
      </c>
      <c r="H1" s="37"/>
    </row>
    <row r="2" spans="2:18" s="41" customFormat="1" ht="18" customHeight="1" x14ac:dyDescent="0.25">
      <c r="B2" s="61" t="s">
        <v>327</v>
      </c>
      <c r="C2" s="61"/>
      <c r="D2" s="61"/>
      <c r="F2" s="123"/>
      <c r="H2" s="41" t="s">
        <v>354</v>
      </c>
    </row>
    <row r="3" spans="2:18" ht="65.25" customHeight="1" x14ac:dyDescent="0.25">
      <c r="B3" s="99" t="s">
        <v>303</v>
      </c>
      <c r="C3" s="106"/>
      <c r="D3" s="108" t="s">
        <v>328</v>
      </c>
      <c r="E3" s="172" t="s">
        <v>331</v>
      </c>
      <c r="F3" s="180" t="s">
        <v>332</v>
      </c>
      <c r="H3" s="120"/>
      <c r="I3" s="161"/>
      <c r="J3" s="161"/>
      <c r="K3" s="161"/>
      <c r="L3" s="161"/>
      <c r="M3" s="161"/>
      <c r="N3" s="161"/>
      <c r="O3" s="161"/>
      <c r="P3" s="161"/>
      <c r="Q3" s="161"/>
      <c r="R3" s="161"/>
    </row>
    <row r="4" spans="2:18" x14ac:dyDescent="0.25">
      <c r="B4" s="92" t="s">
        <v>124</v>
      </c>
      <c r="C4" s="107" t="s">
        <v>106</v>
      </c>
      <c r="D4" s="109">
        <f>1421+726</f>
        <v>2147</v>
      </c>
      <c r="E4" s="173">
        <v>327</v>
      </c>
      <c r="F4" s="109">
        <v>47.009099926683056</v>
      </c>
      <c r="H4" s="161"/>
      <c r="I4" s="161"/>
      <c r="J4" s="161"/>
      <c r="K4" s="161"/>
      <c r="L4" s="161"/>
      <c r="M4" s="161"/>
      <c r="N4" s="161"/>
      <c r="O4" s="161"/>
      <c r="P4" s="161"/>
      <c r="Q4" s="161"/>
      <c r="R4" s="161"/>
    </row>
    <row r="5" spans="2:18" x14ac:dyDescent="0.25">
      <c r="B5" s="88" t="s">
        <v>125</v>
      </c>
      <c r="C5" s="89" t="s">
        <v>107</v>
      </c>
      <c r="D5" s="110">
        <f>2510+1911</f>
        <v>4421</v>
      </c>
      <c r="E5" s="174">
        <v>907</v>
      </c>
      <c r="F5" s="110">
        <v>156.63045918455455</v>
      </c>
      <c r="H5" s="161"/>
      <c r="I5" s="161"/>
      <c r="J5" s="161"/>
      <c r="K5" s="161"/>
      <c r="L5" s="161"/>
      <c r="M5" s="161"/>
      <c r="N5" s="161"/>
      <c r="O5" s="161"/>
      <c r="P5" s="161"/>
      <c r="Q5" s="161"/>
      <c r="R5" s="161"/>
    </row>
    <row r="6" spans="2:18" x14ac:dyDescent="0.25">
      <c r="B6" s="88" t="s">
        <v>126</v>
      </c>
      <c r="C6" s="89" t="s">
        <v>108</v>
      </c>
      <c r="D6" s="110">
        <f>1183+1134</f>
        <v>2317</v>
      </c>
      <c r="E6" s="174">
        <v>478</v>
      </c>
      <c r="F6" s="110">
        <v>151.28976103813895</v>
      </c>
      <c r="H6" s="161"/>
      <c r="I6" s="161"/>
      <c r="J6" s="161"/>
      <c r="K6" s="161"/>
      <c r="L6" s="161"/>
      <c r="M6" s="161"/>
      <c r="N6" s="161"/>
      <c r="O6" s="161"/>
      <c r="P6" s="161"/>
      <c r="Q6" s="161"/>
      <c r="R6" s="161"/>
    </row>
    <row r="7" spans="2:18" x14ac:dyDescent="0.25">
      <c r="B7" s="88" t="s">
        <v>127</v>
      </c>
      <c r="C7" s="89" t="s">
        <v>109</v>
      </c>
      <c r="D7" s="110">
        <f>547+291</f>
        <v>838</v>
      </c>
      <c r="E7" s="174">
        <v>140</v>
      </c>
      <c r="F7" s="110">
        <v>94.054417198522003</v>
      </c>
      <c r="H7" s="161"/>
      <c r="I7" s="161"/>
      <c r="J7" s="161"/>
      <c r="K7" s="161"/>
      <c r="L7" s="161"/>
      <c r="M7" s="161"/>
      <c r="N7" s="161"/>
      <c r="O7" s="161"/>
      <c r="P7" s="161"/>
      <c r="Q7" s="161"/>
      <c r="R7" s="161"/>
    </row>
    <row r="8" spans="2:18" x14ac:dyDescent="0.25">
      <c r="B8" s="88" t="s">
        <v>129</v>
      </c>
      <c r="C8" s="89" t="s">
        <v>128</v>
      </c>
      <c r="D8" s="110">
        <f>402+227</f>
        <v>629</v>
      </c>
      <c r="E8" s="174">
        <v>103</v>
      </c>
      <c r="F8" s="110">
        <v>79.672029702970292</v>
      </c>
      <c r="H8" s="161"/>
      <c r="I8" s="161"/>
      <c r="J8" s="161"/>
      <c r="K8" s="161"/>
      <c r="L8" s="161"/>
      <c r="M8" s="161"/>
      <c r="N8" s="161"/>
      <c r="O8" s="161"/>
      <c r="P8" s="161"/>
      <c r="Q8" s="161"/>
      <c r="R8" s="161"/>
    </row>
    <row r="9" spans="2:18" x14ac:dyDescent="0.25">
      <c r="B9" s="88" t="s">
        <v>130</v>
      </c>
      <c r="C9" s="89" t="s">
        <v>110</v>
      </c>
      <c r="D9" s="110">
        <f>3018+1878</f>
        <v>4896</v>
      </c>
      <c r="E9" s="174">
        <v>894</v>
      </c>
      <c r="F9" s="110">
        <v>80.764644238065983</v>
      </c>
      <c r="H9" s="161"/>
      <c r="I9" s="161"/>
      <c r="J9" s="161"/>
      <c r="K9" s="161"/>
      <c r="L9" s="161"/>
      <c r="M9" s="161"/>
      <c r="N9" s="161"/>
      <c r="O9" s="161"/>
      <c r="P9" s="161"/>
      <c r="Q9" s="161"/>
      <c r="R9" s="161"/>
    </row>
    <row r="10" spans="2:18" x14ac:dyDescent="0.25">
      <c r="B10" s="88" t="s">
        <v>132</v>
      </c>
      <c r="C10" s="89" t="s">
        <v>131</v>
      </c>
      <c r="D10" s="110">
        <f>953+584</f>
        <v>1537</v>
      </c>
      <c r="E10" s="174">
        <v>277</v>
      </c>
      <c r="F10" s="110">
        <v>91.181408209618496</v>
      </c>
      <c r="H10" s="161"/>
      <c r="I10" s="161"/>
      <c r="J10" s="161"/>
      <c r="K10" s="161"/>
      <c r="L10" s="161"/>
      <c r="M10" s="161"/>
      <c r="N10" s="161"/>
      <c r="O10" s="161"/>
      <c r="P10" s="161"/>
      <c r="Q10" s="161"/>
      <c r="R10" s="161"/>
    </row>
    <row r="11" spans="2:18" x14ac:dyDescent="0.25">
      <c r="B11" s="88" t="s">
        <v>134</v>
      </c>
      <c r="C11" s="89" t="s">
        <v>133</v>
      </c>
      <c r="D11" s="110">
        <f>1406+744</f>
        <v>2150</v>
      </c>
      <c r="E11" s="174">
        <v>357</v>
      </c>
      <c r="F11" s="110">
        <v>127.71894676588437</v>
      </c>
      <c r="H11" s="161"/>
      <c r="I11" s="161"/>
      <c r="J11" s="161"/>
      <c r="K11" s="161"/>
      <c r="L11" s="161"/>
      <c r="M11" s="161"/>
      <c r="N11" s="161"/>
      <c r="O11" s="161"/>
      <c r="P11" s="161"/>
      <c r="Q11" s="161"/>
      <c r="R11" s="161"/>
    </row>
    <row r="12" spans="2:18" x14ac:dyDescent="0.25">
      <c r="B12" s="88" t="s">
        <v>136</v>
      </c>
      <c r="C12" s="89" t="s">
        <v>135</v>
      </c>
      <c r="D12" s="110">
        <f>648+391</f>
        <v>1039</v>
      </c>
      <c r="E12" s="174">
        <v>186</v>
      </c>
      <c r="F12" s="110">
        <v>132.76231263383298</v>
      </c>
      <c r="H12" s="161"/>
      <c r="I12" s="161"/>
      <c r="J12" s="161"/>
      <c r="K12" s="161"/>
      <c r="L12" s="161"/>
      <c r="M12" s="161"/>
      <c r="N12" s="161"/>
      <c r="O12" s="161"/>
      <c r="P12" s="161"/>
      <c r="Q12" s="161"/>
      <c r="R12" s="161"/>
    </row>
    <row r="13" spans="2:18" x14ac:dyDescent="0.25">
      <c r="B13" s="88" t="s">
        <v>138</v>
      </c>
      <c r="C13" s="89" t="s">
        <v>137</v>
      </c>
      <c r="D13" s="110">
        <f>1003+719</f>
        <v>1722</v>
      </c>
      <c r="E13" s="174">
        <v>335</v>
      </c>
      <c r="F13" s="110">
        <v>94.291826165278096</v>
      </c>
      <c r="H13" s="161"/>
      <c r="I13" s="161"/>
      <c r="J13" s="161"/>
      <c r="K13" s="161"/>
      <c r="L13" s="161"/>
      <c r="M13" s="161"/>
      <c r="N13" s="161"/>
      <c r="O13" s="161"/>
      <c r="P13" s="161"/>
      <c r="Q13" s="161"/>
      <c r="R13" s="161"/>
    </row>
    <row r="14" spans="2:18" x14ac:dyDescent="0.25">
      <c r="B14" s="88" t="s">
        <v>139</v>
      </c>
      <c r="C14" s="89" t="s">
        <v>111</v>
      </c>
      <c r="D14" s="110">
        <f>1182+797</f>
        <v>1979</v>
      </c>
      <c r="E14" s="174">
        <v>397</v>
      </c>
      <c r="F14" s="110">
        <v>112.33411618233779</v>
      </c>
      <c r="H14" s="161"/>
      <c r="I14" s="161"/>
      <c r="J14" s="161"/>
      <c r="K14" s="161"/>
      <c r="L14" s="161"/>
      <c r="M14" s="161"/>
      <c r="N14" s="161"/>
      <c r="O14" s="161"/>
      <c r="P14" s="161"/>
      <c r="Q14" s="161"/>
      <c r="R14" s="161"/>
    </row>
    <row r="15" spans="2:18" x14ac:dyDescent="0.25">
      <c r="B15" s="88" t="s">
        <v>141</v>
      </c>
      <c r="C15" s="89" t="s">
        <v>140</v>
      </c>
      <c r="D15" s="110">
        <f>735+486</f>
        <v>1221</v>
      </c>
      <c r="E15" s="174">
        <v>246</v>
      </c>
      <c r="F15" s="110">
        <v>97.313976027532732</v>
      </c>
      <c r="H15" s="161"/>
      <c r="I15" s="161"/>
      <c r="J15" s="161"/>
      <c r="K15" s="161"/>
      <c r="L15" s="161"/>
      <c r="M15" s="161"/>
      <c r="N15" s="161"/>
      <c r="O15" s="161"/>
      <c r="P15" s="161"/>
      <c r="Q15" s="161"/>
      <c r="R15" s="161"/>
    </row>
    <row r="16" spans="2:18" x14ac:dyDescent="0.25">
      <c r="B16" s="88" t="s">
        <v>143</v>
      </c>
      <c r="C16" s="89" t="s">
        <v>142</v>
      </c>
      <c r="D16" s="110">
        <f>8388+4627</f>
        <v>13015</v>
      </c>
      <c r="E16" s="174">
        <v>2299</v>
      </c>
      <c r="F16" s="110">
        <v>95.848776562701943</v>
      </c>
      <c r="H16" s="161"/>
      <c r="I16" s="161"/>
      <c r="J16" s="161"/>
      <c r="K16" s="161"/>
      <c r="L16" s="161"/>
      <c r="M16" s="161"/>
      <c r="N16" s="161"/>
      <c r="O16" s="161"/>
      <c r="P16" s="161"/>
      <c r="Q16" s="161"/>
      <c r="R16" s="161"/>
    </row>
    <row r="17" spans="2:18" x14ac:dyDescent="0.25">
      <c r="B17" s="88" t="s">
        <v>145</v>
      </c>
      <c r="C17" s="89" t="s">
        <v>144</v>
      </c>
      <c r="D17" s="110">
        <f>2360+1859</f>
        <v>4219</v>
      </c>
      <c r="E17" s="174">
        <v>936</v>
      </c>
      <c r="F17" s="110">
        <v>106.55616397809679</v>
      </c>
      <c r="H17" s="161"/>
      <c r="I17" s="161"/>
      <c r="J17" s="161"/>
      <c r="K17" s="161"/>
      <c r="L17" s="161"/>
      <c r="M17" s="161"/>
      <c r="N17" s="161"/>
      <c r="O17" s="161"/>
      <c r="P17" s="161"/>
      <c r="Q17" s="161"/>
      <c r="R17" s="161"/>
    </row>
    <row r="18" spans="2:18" x14ac:dyDescent="0.25">
      <c r="B18" s="88" t="s">
        <v>147</v>
      </c>
      <c r="C18" s="89" t="s">
        <v>146</v>
      </c>
      <c r="D18" s="110">
        <f>479+398</f>
        <v>877</v>
      </c>
      <c r="E18" s="174">
        <v>216</v>
      </c>
      <c r="F18" s="110">
        <v>172.77235642297231</v>
      </c>
      <c r="H18" s="161"/>
      <c r="I18" s="161"/>
      <c r="J18" s="161"/>
      <c r="K18" s="161"/>
      <c r="L18" s="161"/>
      <c r="M18" s="161"/>
      <c r="N18" s="161"/>
      <c r="O18" s="161"/>
      <c r="P18" s="161"/>
      <c r="Q18" s="161"/>
      <c r="R18" s="161"/>
    </row>
    <row r="19" spans="2:18" x14ac:dyDescent="0.25">
      <c r="B19" s="88" t="s">
        <v>149</v>
      </c>
      <c r="C19" s="89" t="s">
        <v>148</v>
      </c>
      <c r="D19" s="110">
        <f>1963+855</f>
        <v>2818</v>
      </c>
      <c r="E19" s="174">
        <v>411</v>
      </c>
      <c r="F19" s="110">
        <v>120.21058789119625</v>
      </c>
      <c r="H19" s="161"/>
      <c r="I19" s="161"/>
      <c r="J19" s="161"/>
      <c r="K19" s="161"/>
      <c r="L19" s="161"/>
      <c r="M19" s="161"/>
      <c r="N19" s="161"/>
      <c r="O19" s="161"/>
      <c r="P19" s="161"/>
      <c r="Q19" s="161"/>
      <c r="R19" s="161"/>
    </row>
    <row r="20" spans="2:18" ht="15" customHeight="1" x14ac:dyDescent="0.25">
      <c r="B20" s="88" t="s">
        <v>151</v>
      </c>
      <c r="C20" s="89" t="s">
        <v>150</v>
      </c>
      <c r="D20" s="110">
        <f>2058+1400</f>
        <v>3458</v>
      </c>
      <c r="E20" s="174">
        <v>627</v>
      </c>
      <c r="F20" s="110">
        <v>99.052132701421812</v>
      </c>
      <c r="H20" s="161"/>
      <c r="I20" s="161"/>
      <c r="J20" s="161"/>
      <c r="K20" s="161"/>
      <c r="L20" s="161"/>
      <c r="M20" s="161"/>
      <c r="N20" s="161"/>
      <c r="O20" s="161"/>
      <c r="P20" s="161"/>
      <c r="Q20" s="161"/>
      <c r="R20" s="161"/>
    </row>
    <row r="21" spans="2:18" ht="14.45" customHeight="1" x14ac:dyDescent="0.25">
      <c r="B21" s="88" t="s">
        <v>153</v>
      </c>
      <c r="C21" s="89" t="s">
        <v>152</v>
      </c>
      <c r="D21" s="110">
        <f>1055+915</f>
        <v>1970</v>
      </c>
      <c r="E21" s="174">
        <v>452</v>
      </c>
      <c r="F21" s="110">
        <v>160.11902653299796</v>
      </c>
      <c r="H21" s="161"/>
      <c r="I21" s="161"/>
      <c r="J21" s="161"/>
      <c r="K21" s="161"/>
      <c r="L21" s="161"/>
      <c r="M21" s="161"/>
      <c r="N21" s="161"/>
      <c r="O21" s="161"/>
      <c r="P21" s="161"/>
      <c r="Q21" s="161"/>
      <c r="R21" s="161"/>
    </row>
    <row r="22" spans="2:18" x14ac:dyDescent="0.25">
      <c r="B22" s="88" t="s">
        <v>155</v>
      </c>
      <c r="C22" s="89" t="s">
        <v>154</v>
      </c>
      <c r="D22" s="110">
        <f>1123+516</f>
        <v>1639</v>
      </c>
      <c r="E22" s="174">
        <v>245</v>
      </c>
      <c r="F22" s="110">
        <v>104.89809898955301</v>
      </c>
      <c r="H22" s="161"/>
      <c r="I22" s="161"/>
      <c r="J22" s="161"/>
      <c r="K22" s="161"/>
      <c r="L22" s="161"/>
      <c r="M22" s="161"/>
      <c r="N22" s="161"/>
      <c r="O22" s="161"/>
      <c r="P22" s="161"/>
      <c r="Q22" s="161"/>
      <c r="R22" s="161"/>
    </row>
    <row r="23" spans="2:18" x14ac:dyDescent="0.25">
      <c r="B23" s="88" t="s">
        <v>157</v>
      </c>
      <c r="C23" s="89" t="s">
        <v>156</v>
      </c>
      <c r="D23" s="110">
        <f>292+181</f>
        <v>473</v>
      </c>
      <c r="E23" s="174">
        <v>78</v>
      </c>
      <c r="F23" s="110">
        <v>56.329890951108545</v>
      </c>
      <c r="H23" s="161"/>
      <c r="I23" s="161"/>
      <c r="J23" s="161"/>
      <c r="K23" s="161"/>
      <c r="L23" s="161"/>
      <c r="M23" s="161"/>
      <c r="N23" s="161"/>
      <c r="O23" s="161"/>
      <c r="P23" s="161"/>
      <c r="Q23" s="161"/>
      <c r="R23" s="161"/>
    </row>
    <row r="24" spans="2:18" x14ac:dyDescent="0.25">
      <c r="B24" s="88" t="s">
        <v>159</v>
      </c>
      <c r="C24" s="89" t="s">
        <v>158</v>
      </c>
      <c r="D24" s="110">
        <f>551+344</f>
        <v>895</v>
      </c>
      <c r="E24" s="174">
        <v>155</v>
      </c>
      <c r="F24" s="110">
        <v>81.833060556464815</v>
      </c>
      <c r="H24" s="161"/>
      <c r="I24" s="161"/>
      <c r="J24" s="161"/>
      <c r="K24" s="161"/>
      <c r="L24" s="161"/>
      <c r="M24" s="161"/>
      <c r="N24" s="161"/>
      <c r="O24" s="161"/>
      <c r="P24" s="161"/>
      <c r="Q24" s="161"/>
      <c r="R24" s="161"/>
    </row>
    <row r="25" spans="2:18" ht="15" customHeight="1" x14ac:dyDescent="0.25">
      <c r="B25" s="88" t="s">
        <v>161</v>
      </c>
      <c r="C25" s="89" t="s">
        <v>160</v>
      </c>
      <c r="D25" s="110">
        <f>2815+1699</f>
        <v>4514</v>
      </c>
      <c r="E25" s="174">
        <v>839</v>
      </c>
      <c r="F25" s="110">
        <v>117.42148575267312</v>
      </c>
      <c r="H25" s="161"/>
      <c r="I25" s="161"/>
      <c r="J25" s="161"/>
      <c r="K25" s="161"/>
      <c r="L25" s="161"/>
      <c r="M25" s="161"/>
      <c r="N25" s="161"/>
      <c r="O25" s="161"/>
      <c r="P25" s="161"/>
      <c r="Q25" s="161"/>
      <c r="R25" s="161"/>
    </row>
    <row r="26" spans="2:18" x14ac:dyDescent="0.25">
      <c r="B26" s="88" t="s">
        <v>163</v>
      </c>
      <c r="C26" s="89" t="s">
        <v>162</v>
      </c>
      <c r="D26" s="110">
        <f>1321+889</f>
        <v>2210</v>
      </c>
      <c r="E26" s="174">
        <v>446</v>
      </c>
      <c r="F26" s="110">
        <v>76.436614166481007</v>
      </c>
      <c r="H26" s="161"/>
      <c r="I26" s="161"/>
      <c r="J26" s="161"/>
      <c r="K26" s="161"/>
      <c r="L26" s="161"/>
      <c r="M26" s="161"/>
      <c r="N26" s="161"/>
      <c r="O26" s="161"/>
      <c r="P26" s="161"/>
      <c r="Q26" s="161"/>
      <c r="R26" s="161"/>
    </row>
    <row r="27" spans="2:18" x14ac:dyDescent="0.25">
      <c r="B27" s="88" t="s">
        <v>165</v>
      </c>
      <c r="C27" s="89" t="s">
        <v>164</v>
      </c>
      <c r="D27" s="110">
        <f>449+253</f>
        <v>702</v>
      </c>
      <c r="E27" s="174">
        <v>109</v>
      </c>
      <c r="F27" s="110">
        <v>112.09378856437681</v>
      </c>
      <c r="H27" s="161"/>
      <c r="I27" s="161"/>
      <c r="J27" s="161"/>
      <c r="K27" s="161"/>
      <c r="L27" s="161"/>
      <c r="M27" s="161"/>
      <c r="N27" s="161"/>
      <c r="O27" s="161"/>
      <c r="P27" s="161"/>
      <c r="Q27" s="161"/>
      <c r="R27" s="161"/>
    </row>
    <row r="28" spans="2:18" x14ac:dyDescent="0.25">
      <c r="B28" s="88" t="s">
        <v>166</v>
      </c>
      <c r="C28" s="89" t="s">
        <v>112</v>
      </c>
      <c r="D28" s="110">
        <f>1505+1085</f>
        <v>2590</v>
      </c>
      <c r="E28" s="174">
        <v>481</v>
      </c>
      <c r="F28" s="110">
        <v>135.89873989941796</v>
      </c>
      <c r="H28" s="161"/>
      <c r="I28" s="161"/>
      <c r="J28" s="161"/>
      <c r="K28" s="161"/>
      <c r="L28" s="161"/>
      <c r="M28" s="161"/>
      <c r="N28" s="161"/>
      <c r="O28" s="161"/>
      <c r="P28" s="161"/>
      <c r="Q28" s="161"/>
      <c r="R28" s="161"/>
    </row>
    <row r="29" spans="2:18" x14ac:dyDescent="0.25">
      <c r="B29" s="88" t="s">
        <v>168</v>
      </c>
      <c r="C29" s="89" t="s">
        <v>167</v>
      </c>
      <c r="D29" s="110">
        <f>2712+1576</f>
        <v>4288</v>
      </c>
      <c r="E29" s="174">
        <v>768</v>
      </c>
      <c r="F29" s="110">
        <v>113.71712864250178</v>
      </c>
      <c r="H29" s="37"/>
      <c r="I29" s="161"/>
      <c r="J29" s="161"/>
      <c r="K29" s="161"/>
      <c r="L29" s="161"/>
      <c r="M29" s="161"/>
      <c r="N29" s="161"/>
      <c r="O29" s="161"/>
      <c r="P29" s="161"/>
      <c r="Q29" s="161"/>
      <c r="R29" s="161"/>
    </row>
    <row r="30" spans="2:18" x14ac:dyDescent="0.25">
      <c r="B30" s="88" t="s">
        <v>170</v>
      </c>
      <c r="C30" s="89" t="s">
        <v>169</v>
      </c>
      <c r="D30" s="110">
        <f>1853+1032</f>
        <v>2885</v>
      </c>
      <c r="E30" s="174">
        <v>519</v>
      </c>
      <c r="F30" s="110">
        <v>97.034738062296668</v>
      </c>
      <c r="H30" s="161"/>
      <c r="I30" s="161"/>
      <c r="J30" s="161"/>
      <c r="K30" s="161"/>
      <c r="L30" s="161"/>
      <c r="M30" s="161"/>
      <c r="N30" s="161"/>
      <c r="O30" s="161"/>
      <c r="P30" s="161"/>
      <c r="Q30" s="161"/>
      <c r="R30" s="161"/>
    </row>
    <row r="31" spans="2:18" x14ac:dyDescent="0.25">
      <c r="B31" s="88" t="s">
        <v>171</v>
      </c>
      <c r="C31" s="89" t="s">
        <v>113</v>
      </c>
      <c r="D31" s="110">
        <f>1715+1067</f>
        <v>2782</v>
      </c>
      <c r="E31" s="174">
        <v>531</v>
      </c>
      <c r="F31" s="110">
        <v>83.040112596762839</v>
      </c>
      <c r="H31" s="161"/>
      <c r="I31" s="161"/>
      <c r="J31" s="161"/>
      <c r="K31" s="161"/>
      <c r="L31" s="161"/>
      <c r="M31" s="161"/>
      <c r="N31" s="161"/>
      <c r="O31" s="161"/>
      <c r="P31" s="161"/>
      <c r="Q31" s="161"/>
      <c r="R31" s="161"/>
    </row>
    <row r="32" spans="2:18" x14ac:dyDescent="0.25">
      <c r="B32" s="88" t="s">
        <v>172</v>
      </c>
      <c r="C32" s="89" t="s">
        <v>114</v>
      </c>
      <c r="D32" s="110">
        <f>1168+783</f>
        <v>1951</v>
      </c>
      <c r="E32" s="174">
        <v>376</v>
      </c>
      <c r="F32" s="110">
        <v>85.960540454036263</v>
      </c>
      <c r="H32" s="161"/>
      <c r="I32" s="161"/>
      <c r="J32" s="161"/>
      <c r="K32" s="161"/>
      <c r="L32" s="161"/>
      <c r="M32" s="161"/>
      <c r="N32" s="161"/>
      <c r="O32" s="161"/>
      <c r="P32" s="161"/>
      <c r="Q32" s="161"/>
      <c r="R32" s="161"/>
    </row>
    <row r="33" spans="2:18" x14ac:dyDescent="0.25">
      <c r="B33" s="88" t="s">
        <v>174</v>
      </c>
      <c r="C33" s="89" t="s">
        <v>173</v>
      </c>
      <c r="D33" s="110">
        <f>2724+1720</f>
        <v>4444</v>
      </c>
      <c r="E33" s="174">
        <v>842</v>
      </c>
      <c r="F33" s="110">
        <v>81.776949001097478</v>
      </c>
      <c r="H33" s="161"/>
      <c r="I33" s="161"/>
      <c r="J33" s="161"/>
      <c r="K33" s="161"/>
      <c r="L33" s="161"/>
      <c r="M33" s="161"/>
      <c r="N33" s="161"/>
      <c r="O33" s="161"/>
      <c r="P33" s="161"/>
      <c r="Q33" s="161"/>
      <c r="R33" s="161"/>
    </row>
    <row r="34" spans="2:18" x14ac:dyDescent="0.25">
      <c r="B34" s="88" t="s">
        <v>176</v>
      </c>
      <c r="C34" s="89" t="s">
        <v>175</v>
      </c>
      <c r="D34" s="110">
        <f>3101+2208</f>
        <v>5309</v>
      </c>
      <c r="E34" s="174">
        <v>1039</v>
      </c>
      <c r="F34" s="110">
        <v>130.52763819095478</v>
      </c>
      <c r="H34" s="161"/>
      <c r="I34" s="161"/>
      <c r="J34" s="161"/>
      <c r="K34" s="161"/>
      <c r="L34" s="161"/>
      <c r="M34" s="161"/>
      <c r="N34" s="161"/>
      <c r="O34" s="161"/>
      <c r="P34" s="161"/>
      <c r="Q34" s="161"/>
      <c r="R34" s="161"/>
    </row>
    <row r="35" spans="2:18" x14ac:dyDescent="0.25">
      <c r="B35" s="88" t="s">
        <v>178</v>
      </c>
      <c r="C35" s="89" t="s">
        <v>177</v>
      </c>
      <c r="D35" s="110">
        <f>6635+3834</f>
        <v>10469</v>
      </c>
      <c r="E35" s="174">
        <v>1861</v>
      </c>
      <c r="F35" s="110">
        <v>94.741129155424318</v>
      </c>
      <c r="H35" s="161"/>
      <c r="I35" s="161"/>
      <c r="J35" s="161"/>
      <c r="K35" s="161"/>
      <c r="L35" s="161"/>
      <c r="M35" s="161"/>
      <c r="N35" s="161"/>
      <c r="O35" s="161"/>
      <c r="P35" s="161"/>
      <c r="Q35" s="161"/>
      <c r="R35" s="161"/>
    </row>
    <row r="36" spans="2:18" x14ac:dyDescent="0.25">
      <c r="B36" s="88" t="s">
        <v>179</v>
      </c>
      <c r="C36" s="89" t="s">
        <v>115</v>
      </c>
      <c r="D36" s="110">
        <f>589+448</f>
        <v>1037</v>
      </c>
      <c r="E36" s="174">
        <v>219</v>
      </c>
      <c r="F36" s="110">
        <v>135.25197628458497</v>
      </c>
      <c r="H36" s="161"/>
      <c r="I36" s="161"/>
      <c r="J36" s="161"/>
      <c r="K36" s="161"/>
      <c r="L36" s="161"/>
      <c r="M36" s="161"/>
      <c r="N36" s="161"/>
      <c r="O36" s="161"/>
      <c r="P36" s="161"/>
      <c r="Q36" s="161"/>
      <c r="R36" s="161"/>
    </row>
    <row r="37" spans="2:18" x14ac:dyDescent="0.25">
      <c r="B37" s="88" t="s">
        <v>181</v>
      </c>
      <c r="C37" s="89" t="s">
        <v>180</v>
      </c>
      <c r="D37" s="110">
        <f>6641+4493</f>
        <v>11134</v>
      </c>
      <c r="E37" s="174">
        <v>2183</v>
      </c>
      <c r="F37" s="110">
        <v>104.31749217499343</v>
      </c>
      <c r="H37" s="161"/>
      <c r="I37" s="161"/>
      <c r="J37" s="161"/>
      <c r="K37" s="161"/>
      <c r="L37" s="161"/>
      <c r="M37" s="161"/>
      <c r="N37" s="161"/>
      <c r="O37" s="161"/>
      <c r="P37" s="161"/>
      <c r="Q37" s="161"/>
      <c r="R37" s="161"/>
    </row>
    <row r="38" spans="2:18" x14ac:dyDescent="0.25">
      <c r="B38" s="88" t="s">
        <v>183</v>
      </c>
      <c r="C38" s="89" t="s">
        <v>182</v>
      </c>
      <c r="D38" s="110">
        <f>4393+3545</f>
        <v>7938</v>
      </c>
      <c r="E38" s="174">
        <v>1772</v>
      </c>
      <c r="F38" s="110">
        <v>118.258687542128</v>
      </c>
      <c r="H38" s="60" t="s">
        <v>357</v>
      </c>
      <c r="I38" s="60"/>
      <c r="J38" s="149"/>
      <c r="K38" s="142"/>
      <c r="L38" s="142"/>
      <c r="M38" s="150"/>
      <c r="N38" s="149"/>
      <c r="O38" s="161"/>
      <c r="P38" s="161"/>
      <c r="Q38" s="161"/>
      <c r="R38" s="161"/>
    </row>
    <row r="39" spans="2:18" x14ac:dyDescent="0.25">
      <c r="B39" s="88" t="s">
        <v>185</v>
      </c>
      <c r="C39" s="89" t="s">
        <v>184</v>
      </c>
      <c r="D39" s="110">
        <f>4070+2413</f>
        <v>6483</v>
      </c>
      <c r="E39" s="174">
        <v>1211</v>
      </c>
      <c r="F39" s="110">
        <v>83.423461901448704</v>
      </c>
      <c r="H39" s="198" t="s">
        <v>355</v>
      </c>
      <c r="I39" s="198"/>
      <c r="J39" s="198"/>
      <c r="K39" s="198"/>
      <c r="L39" s="198"/>
      <c r="M39" s="198"/>
      <c r="N39" s="198"/>
      <c r="O39" s="161"/>
      <c r="P39" s="161"/>
      <c r="Q39" s="161"/>
      <c r="R39" s="161"/>
    </row>
    <row r="40" spans="2:18" x14ac:dyDescent="0.25">
      <c r="B40" s="88" t="s">
        <v>187</v>
      </c>
      <c r="C40" s="89" t="s">
        <v>186</v>
      </c>
      <c r="D40" s="110">
        <f>882+692</f>
        <v>1574</v>
      </c>
      <c r="E40" s="174">
        <v>345</v>
      </c>
      <c r="F40" s="110">
        <v>168.15323877759906</v>
      </c>
      <c r="H40" s="198"/>
      <c r="I40" s="198"/>
      <c r="J40" s="198"/>
      <c r="K40" s="198"/>
      <c r="L40" s="198"/>
      <c r="M40" s="198"/>
      <c r="N40" s="198"/>
      <c r="O40" s="161"/>
      <c r="P40" s="161"/>
      <c r="Q40" s="161"/>
      <c r="R40" s="161"/>
    </row>
    <row r="41" spans="2:18" x14ac:dyDescent="0.25">
      <c r="B41" s="88" t="s">
        <v>189</v>
      </c>
      <c r="C41" s="89" t="s">
        <v>188</v>
      </c>
      <c r="D41" s="110">
        <f>2400+1632</f>
        <v>4032</v>
      </c>
      <c r="E41" s="174">
        <v>865</v>
      </c>
      <c r="F41" s="110">
        <v>117.0817541959935</v>
      </c>
    </row>
    <row r="42" spans="2:18" x14ac:dyDescent="0.25">
      <c r="B42" s="88" t="s">
        <v>191</v>
      </c>
      <c r="C42" s="89" t="s">
        <v>190</v>
      </c>
      <c r="D42" s="110">
        <f>3945+2186</f>
        <v>6131</v>
      </c>
      <c r="E42" s="174">
        <v>1018</v>
      </c>
      <c r="F42" s="110">
        <v>64.758269720101779</v>
      </c>
    </row>
    <row r="43" spans="2:18" x14ac:dyDescent="0.25">
      <c r="B43" s="88" t="s">
        <v>193</v>
      </c>
      <c r="C43" s="89" t="s">
        <v>192</v>
      </c>
      <c r="D43" s="110">
        <f>714+473</f>
        <v>1187</v>
      </c>
      <c r="E43" s="174">
        <v>243</v>
      </c>
      <c r="F43" s="110">
        <v>94.663030775224001</v>
      </c>
    </row>
    <row r="44" spans="2:18" x14ac:dyDescent="0.25">
      <c r="B44" s="88" t="s">
        <v>195</v>
      </c>
      <c r="C44" s="89" t="s">
        <v>194</v>
      </c>
      <c r="D44" s="110">
        <f>1205+968</f>
        <v>2173</v>
      </c>
      <c r="E44" s="174">
        <v>422</v>
      </c>
      <c r="F44" s="110">
        <v>115.66397149513497</v>
      </c>
    </row>
    <row r="45" spans="2:18" x14ac:dyDescent="0.25">
      <c r="B45" s="88" t="s">
        <v>197</v>
      </c>
      <c r="C45" s="89" t="s">
        <v>196</v>
      </c>
      <c r="D45" s="110">
        <f>980+672</f>
        <v>1652</v>
      </c>
      <c r="E45" s="174">
        <v>346</v>
      </c>
      <c r="F45" s="110">
        <v>107.42339097767706</v>
      </c>
    </row>
    <row r="46" spans="2:18" x14ac:dyDescent="0.25">
      <c r="B46" s="88" t="s">
        <v>199</v>
      </c>
      <c r="C46" s="89" t="s">
        <v>198</v>
      </c>
      <c r="D46" s="110">
        <f>3099+1722</f>
        <v>4821</v>
      </c>
      <c r="E46" s="174">
        <v>850</v>
      </c>
      <c r="F46" s="110">
        <v>94.83220278471974</v>
      </c>
    </row>
    <row r="47" spans="2:18" x14ac:dyDescent="0.25">
      <c r="B47" s="88" t="s">
        <v>201</v>
      </c>
      <c r="C47" s="89" t="s">
        <v>200</v>
      </c>
      <c r="D47" s="110">
        <f>981+653</f>
        <v>1634</v>
      </c>
      <c r="E47" s="174">
        <v>290</v>
      </c>
      <c r="F47" s="110">
        <v>130.61298022789714</v>
      </c>
    </row>
    <row r="48" spans="2:18" x14ac:dyDescent="0.25">
      <c r="B48" s="88" t="s">
        <v>202</v>
      </c>
      <c r="C48" s="89" t="s">
        <v>123</v>
      </c>
      <c r="D48" s="110">
        <f>4983+3186</f>
        <v>8169</v>
      </c>
      <c r="E48" s="174">
        <v>1597</v>
      </c>
      <c r="F48" s="110">
        <v>90.991447829480776</v>
      </c>
    </row>
    <row r="49" spans="2:6" x14ac:dyDescent="0.25">
      <c r="B49" s="88" t="s">
        <v>204</v>
      </c>
      <c r="C49" s="89" t="s">
        <v>203</v>
      </c>
      <c r="D49" s="110">
        <f>2071+1446</f>
        <v>3517</v>
      </c>
      <c r="E49" s="174">
        <v>692</v>
      </c>
      <c r="F49" s="110">
        <v>87.467610440498007</v>
      </c>
    </row>
    <row r="50" spans="2:6" x14ac:dyDescent="0.25">
      <c r="B50" s="88" t="s">
        <v>206</v>
      </c>
      <c r="C50" s="89" t="s">
        <v>205</v>
      </c>
      <c r="D50" s="110">
        <f>991+434</f>
        <v>1425</v>
      </c>
      <c r="E50" s="174">
        <v>201</v>
      </c>
      <c r="F50" s="110">
        <v>138.439286452235</v>
      </c>
    </row>
    <row r="51" spans="2:6" x14ac:dyDescent="0.25">
      <c r="B51" s="88" t="s">
        <v>208</v>
      </c>
      <c r="C51" s="89" t="s">
        <v>207</v>
      </c>
      <c r="D51" s="110">
        <f>1544+892</f>
        <v>2436</v>
      </c>
      <c r="E51" s="174">
        <v>424</v>
      </c>
      <c r="F51" s="110">
        <v>135.6279188791504</v>
      </c>
    </row>
    <row r="52" spans="2:6" x14ac:dyDescent="0.25">
      <c r="B52" s="88" t="s">
        <v>210</v>
      </c>
      <c r="C52" s="89" t="s">
        <v>209</v>
      </c>
      <c r="D52" s="110">
        <f>210+130</f>
        <v>340</v>
      </c>
      <c r="E52" s="174">
        <v>71</v>
      </c>
      <c r="F52" s="110">
        <v>91.28310619696579</v>
      </c>
    </row>
    <row r="53" spans="2:6" x14ac:dyDescent="0.25">
      <c r="B53" s="88" t="s">
        <v>212</v>
      </c>
      <c r="C53" s="89" t="s">
        <v>211</v>
      </c>
      <c r="D53" s="110">
        <f>3119+2138</f>
        <v>5257</v>
      </c>
      <c r="E53" s="174">
        <v>1093</v>
      </c>
      <c r="F53" s="110">
        <v>102.80189238250205</v>
      </c>
    </row>
    <row r="54" spans="2:6" x14ac:dyDescent="0.25">
      <c r="B54" s="88" t="s">
        <v>214</v>
      </c>
      <c r="C54" s="89" t="s">
        <v>213</v>
      </c>
      <c r="D54" s="110">
        <f>1273+1025</f>
        <v>2298</v>
      </c>
      <c r="E54" s="174">
        <v>497</v>
      </c>
      <c r="F54" s="110">
        <v>102.44254354323405</v>
      </c>
    </row>
    <row r="55" spans="2:6" x14ac:dyDescent="0.25">
      <c r="B55" s="88" t="s">
        <v>216</v>
      </c>
      <c r="C55" s="89" t="s">
        <v>215</v>
      </c>
      <c r="D55" s="110">
        <f>2405+1330</f>
        <v>3735</v>
      </c>
      <c r="E55" s="174">
        <v>685</v>
      </c>
      <c r="F55" s="110">
        <v>92.682794825999892</v>
      </c>
    </row>
    <row r="56" spans="2:6" x14ac:dyDescent="0.25">
      <c r="B56" s="88" t="s">
        <v>217</v>
      </c>
      <c r="C56" s="89" t="s">
        <v>116</v>
      </c>
      <c r="D56" s="110">
        <f>518+380</f>
        <v>898</v>
      </c>
      <c r="E56" s="174">
        <v>180</v>
      </c>
      <c r="F56" s="110">
        <v>108.10810810810811</v>
      </c>
    </row>
    <row r="57" spans="2:6" x14ac:dyDescent="0.25">
      <c r="B57" s="88" t="s">
        <v>218</v>
      </c>
      <c r="C57" s="89" t="s">
        <v>117</v>
      </c>
      <c r="D57" s="110">
        <f>1002+610</f>
        <v>1612</v>
      </c>
      <c r="E57" s="174">
        <v>321</v>
      </c>
      <c r="F57" s="110">
        <v>95.898186598153742</v>
      </c>
    </row>
    <row r="58" spans="2:6" x14ac:dyDescent="0.25">
      <c r="B58" s="88" t="s">
        <v>220</v>
      </c>
      <c r="C58" s="89" t="s">
        <v>219</v>
      </c>
      <c r="D58" s="110">
        <f>3818+2293</f>
        <v>6111</v>
      </c>
      <c r="E58" s="174">
        <v>1174</v>
      </c>
      <c r="F58" s="110">
        <v>117.22299328014697</v>
      </c>
    </row>
    <row r="59" spans="2:6" x14ac:dyDescent="0.25">
      <c r="B59" s="88" t="s">
        <v>222</v>
      </c>
      <c r="C59" s="89" t="s">
        <v>221</v>
      </c>
      <c r="D59" s="110">
        <f>830+559</f>
        <v>1389</v>
      </c>
      <c r="E59" s="174">
        <v>294</v>
      </c>
      <c r="F59" s="110">
        <v>155.71209152057625</v>
      </c>
    </row>
    <row r="60" spans="2:6" x14ac:dyDescent="0.25">
      <c r="B60" s="88" t="s">
        <v>224</v>
      </c>
      <c r="C60" s="89" t="s">
        <v>223</v>
      </c>
      <c r="D60" s="110">
        <f>1809+1188</f>
        <v>2997</v>
      </c>
      <c r="E60" s="174">
        <v>596</v>
      </c>
      <c r="F60" s="110">
        <v>77.925813579488249</v>
      </c>
    </row>
    <row r="61" spans="2:6" x14ac:dyDescent="0.25">
      <c r="B61" s="88" t="s">
        <v>226</v>
      </c>
      <c r="C61" s="89" t="s">
        <v>225</v>
      </c>
      <c r="D61" s="110">
        <f>2765+1849</f>
        <v>4614</v>
      </c>
      <c r="E61" s="174">
        <v>948</v>
      </c>
      <c r="F61" s="110">
        <v>84.647391824562035</v>
      </c>
    </row>
    <row r="62" spans="2:6" x14ac:dyDescent="0.25">
      <c r="B62" s="88" t="s">
        <v>228</v>
      </c>
      <c r="C62" s="89" t="s">
        <v>227</v>
      </c>
      <c r="D62" s="110">
        <f>912+534</f>
        <v>1446</v>
      </c>
      <c r="E62" s="174">
        <v>253</v>
      </c>
      <c r="F62" s="110">
        <v>139.06447534766119</v>
      </c>
    </row>
    <row r="63" spans="2:6" x14ac:dyDescent="0.25">
      <c r="B63" s="88" t="s">
        <v>230</v>
      </c>
      <c r="C63" s="89" t="s">
        <v>229</v>
      </c>
      <c r="D63" s="110">
        <f>16198+8897</f>
        <v>25095</v>
      </c>
      <c r="E63" s="174">
        <v>4302</v>
      </c>
      <c r="F63" s="110">
        <v>122.11876916089476</v>
      </c>
    </row>
    <row r="64" spans="2:6" x14ac:dyDescent="0.25">
      <c r="B64" s="88" t="s">
        <v>232</v>
      </c>
      <c r="C64" s="89" t="s">
        <v>231</v>
      </c>
      <c r="D64" s="110">
        <f>2830+1954</f>
        <v>4784</v>
      </c>
      <c r="E64" s="174">
        <v>927</v>
      </c>
      <c r="F64" s="110">
        <v>98.183551342477358</v>
      </c>
    </row>
    <row r="65" spans="2:6" x14ac:dyDescent="0.25">
      <c r="B65" s="88" t="s">
        <v>234</v>
      </c>
      <c r="C65" s="89" t="s">
        <v>233</v>
      </c>
      <c r="D65" s="110">
        <f>774+633</f>
        <v>1407</v>
      </c>
      <c r="E65" s="174">
        <v>317</v>
      </c>
      <c r="F65" s="110">
        <v>112.49911278302221</v>
      </c>
    </row>
    <row r="66" spans="2:6" x14ac:dyDescent="0.25">
      <c r="B66" s="88" t="s">
        <v>236</v>
      </c>
      <c r="C66" s="89" t="s">
        <v>235</v>
      </c>
      <c r="D66" s="110">
        <f>6916+4898</f>
        <v>11814</v>
      </c>
      <c r="E66" s="174">
        <v>2417</v>
      </c>
      <c r="F66" s="110">
        <v>140.3535259685961</v>
      </c>
    </row>
    <row r="67" spans="2:6" x14ac:dyDescent="0.25">
      <c r="B67" s="88" t="s">
        <v>238</v>
      </c>
      <c r="C67" s="89" t="s">
        <v>237</v>
      </c>
      <c r="D67" s="110">
        <f>1970+1895</f>
        <v>3865</v>
      </c>
      <c r="E67" s="174">
        <v>909</v>
      </c>
      <c r="F67" s="110">
        <v>112.6743105051131</v>
      </c>
    </row>
    <row r="68" spans="2:6" x14ac:dyDescent="0.25">
      <c r="B68" s="88" t="s">
        <v>240</v>
      </c>
      <c r="C68" s="89" t="s">
        <v>239</v>
      </c>
      <c r="D68" s="110">
        <f>2432+1639</f>
        <v>4071</v>
      </c>
      <c r="E68" s="174">
        <v>777</v>
      </c>
      <c r="F68" s="110">
        <v>110.62387881203907</v>
      </c>
    </row>
    <row r="69" spans="2:6" x14ac:dyDescent="0.25">
      <c r="B69" s="88" t="s">
        <v>242</v>
      </c>
      <c r="C69" s="89" t="s">
        <v>241</v>
      </c>
      <c r="D69" s="110">
        <f>789+538</f>
        <v>1327</v>
      </c>
      <c r="E69" s="174">
        <v>274</v>
      </c>
      <c r="F69" s="110">
        <v>120.72080010574084</v>
      </c>
    </row>
    <row r="70" spans="2:6" x14ac:dyDescent="0.25">
      <c r="B70" s="88" t="s">
        <v>244</v>
      </c>
      <c r="C70" s="89" t="s">
        <v>243</v>
      </c>
      <c r="D70" s="110">
        <f>1974+1325</f>
        <v>3299</v>
      </c>
      <c r="E70" s="174">
        <v>591</v>
      </c>
      <c r="F70" s="110">
        <v>124.57316302010877</v>
      </c>
    </row>
    <row r="71" spans="2:6" x14ac:dyDescent="0.25">
      <c r="B71" s="88" t="s">
        <v>246</v>
      </c>
      <c r="C71" s="89" t="s">
        <v>245</v>
      </c>
      <c r="D71" s="110">
        <f>4788+3003</f>
        <v>7791</v>
      </c>
      <c r="E71" s="174">
        <v>1437</v>
      </c>
      <c r="F71" s="110">
        <v>100.52254936937314</v>
      </c>
    </row>
    <row r="72" spans="2:6" x14ac:dyDescent="0.25">
      <c r="B72" s="88" t="s">
        <v>248</v>
      </c>
      <c r="C72" s="89" t="s">
        <v>247</v>
      </c>
      <c r="D72" s="110">
        <f>2490+1640</f>
        <v>4130</v>
      </c>
      <c r="E72" s="174">
        <v>863</v>
      </c>
      <c r="F72" s="110">
        <v>106.98037660067683</v>
      </c>
    </row>
    <row r="73" spans="2:6" x14ac:dyDescent="0.25">
      <c r="B73" s="88" t="s">
        <v>250</v>
      </c>
      <c r="C73" s="89" t="s">
        <v>249</v>
      </c>
      <c r="D73" s="110">
        <f>6931+4248</f>
        <v>11179</v>
      </c>
      <c r="E73" s="174">
        <v>2186</v>
      </c>
      <c r="F73" s="110">
        <v>83.079332020887648</v>
      </c>
    </row>
    <row r="74" spans="2:6" x14ac:dyDescent="0.25">
      <c r="B74" s="88" t="s">
        <v>252</v>
      </c>
      <c r="C74" s="89" t="s">
        <v>251</v>
      </c>
      <c r="D74" s="110">
        <f>937+625</f>
        <v>1562</v>
      </c>
      <c r="E74" s="174">
        <v>301</v>
      </c>
      <c r="F74" s="110">
        <v>131.71713635568003</v>
      </c>
    </row>
    <row r="75" spans="2:6" x14ac:dyDescent="0.25">
      <c r="B75" s="88" t="s">
        <v>254</v>
      </c>
      <c r="C75" s="89" t="s">
        <v>253</v>
      </c>
      <c r="D75" s="110">
        <f>1172+888</f>
        <v>2060</v>
      </c>
      <c r="E75" s="174">
        <v>482</v>
      </c>
      <c r="F75" s="110">
        <v>92.62462046965679</v>
      </c>
    </row>
    <row r="76" spans="2:6" x14ac:dyDescent="0.25">
      <c r="B76" s="88" t="s">
        <v>256</v>
      </c>
      <c r="C76" s="89" t="s">
        <v>255</v>
      </c>
      <c r="D76" s="110">
        <f>2249+1317</f>
        <v>3566</v>
      </c>
      <c r="E76" s="174">
        <v>668</v>
      </c>
      <c r="F76" s="110">
        <v>104.48111363103152</v>
      </c>
    </row>
    <row r="77" spans="2:6" x14ac:dyDescent="0.25">
      <c r="B77" s="88" t="s">
        <v>258</v>
      </c>
      <c r="C77" s="89" t="s">
        <v>257</v>
      </c>
      <c r="D77" s="110">
        <f>1439+654</f>
        <v>2093</v>
      </c>
      <c r="E77" s="174">
        <v>320</v>
      </c>
      <c r="F77" s="110">
        <v>67.729167989501974</v>
      </c>
    </row>
    <row r="78" spans="2:6" x14ac:dyDescent="0.25">
      <c r="B78" s="88" t="s">
        <v>260</v>
      </c>
      <c r="C78" s="89" t="s">
        <v>259</v>
      </c>
      <c r="D78" s="110">
        <f>843+547</f>
        <v>1390</v>
      </c>
      <c r="E78" s="174">
        <v>270</v>
      </c>
      <c r="F78" s="110">
        <v>32.380701102143121</v>
      </c>
    </row>
    <row r="79" spans="2:6" x14ac:dyDescent="0.25">
      <c r="B79" s="88" t="s">
        <v>261</v>
      </c>
      <c r="C79" s="89" t="s">
        <v>118</v>
      </c>
      <c r="D79" s="110">
        <f>8696+4257</f>
        <v>12953</v>
      </c>
      <c r="E79" s="174">
        <v>2081</v>
      </c>
      <c r="F79" s="110">
        <v>72.949201975692944</v>
      </c>
    </row>
    <row r="80" spans="2:6" x14ac:dyDescent="0.25">
      <c r="B80" s="88" t="s">
        <v>262</v>
      </c>
      <c r="C80" s="89" t="s">
        <v>119</v>
      </c>
      <c r="D80" s="110">
        <f>4553+3339</f>
        <v>7892</v>
      </c>
      <c r="E80" s="174">
        <v>1700</v>
      </c>
      <c r="F80" s="110">
        <v>110.53459732896397</v>
      </c>
    </row>
    <row r="81" spans="2:6" x14ac:dyDescent="0.25">
      <c r="B81" s="88" t="s">
        <v>264</v>
      </c>
      <c r="C81" s="89" t="s">
        <v>263</v>
      </c>
      <c r="D81" s="110">
        <f>3386+2137</f>
        <v>5523</v>
      </c>
      <c r="E81" s="174">
        <v>1050</v>
      </c>
      <c r="F81" s="110">
        <v>59.612349407850665</v>
      </c>
    </row>
    <row r="82" spans="2:6" x14ac:dyDescent="0.25">
      <c r="B82" s="88" t="s">
        <v>266</v>
      </c>
      <c r="C82" s="89" t="s">
        <v>265</v>
      </c>
      <c r="D82" s="110">
        <f>3510+2322</f>
        <v>5832</v>
      </c>
      <c r="E82" s="174">
        <v>1105</v>
      </c>
      <c r="F82" s="110">
        <v>64.119302521252209</v>
      </c>
    </row>
    <row r="83" spans="2:6" x14ac:dyDescent="0.25">
      <c r="B83" s="88" t="s">
        <v>268</v>
      </c>
      <c r="C83" s="89" t="s">
        <v>267</v>
      </c>
      <c r="D83" s="110">
        <f>1290+860</f>
        <v>2150</v>
      </c>
      <c r="E83" s="174">
        <v>396</v>
      </c>
      <c r="F83" s="110">
        <v>107.43353228431904</v>
      </c>
    </row>
    <row r="84" spans="2:6" x14ac:dyDescent="0.25">
      <c r="B84" s="88" t="s">
        <v>270</v>
      </c>
      <c r="C84" s="89" t="s">
        <v>269</v>
      </c>
      <c r="D84" s="110">
        <f>2979+1747</f>
        <v>4726</v>
      </c>
      <c r="E84" s="174">
        <v>827</v>
      </c>
      <c r="F84" s="110">
        <v>109.7137095704317</v>
      </c>
    </row>
    <row r="85" spans="2:6" x14ac:dyDescent="0.25">
      <c r="B85" s="88" t="s">
        <v>272</v>
      </c>
      <c r="C85" s="89" t="s">
        <v>271</v>
      </c>
      <c r="D85" s="110">
        <f>1407+1013</f>
        <v>2420</v>
      </c>
      <c r="E85" s="174">
        <v>513</v>
      </c>
      <c r="F85" s="110">
        <v>131.91051684237593</v>
      </c>
    </row>
    <row r="86" spans="2:6" x14ac:dyDescent="0.25">
      <c r="B86" s="88" t="s">
        <v>274</v>
      </c>
      <c r="C86" s="89" t="s">
        <v>273</v>
      </c>
      <c r="D86" s="110">
        <f>1005+689</f>
        <v>1694</v>
      </c>
      <c r="E86" s="174">
        <v>320</v>
      </c>
      <c r="F86" s="110">
        <v>122.29610945501797</v>
      </c>
    </row>
    <row r="87" spans="2:6" x14ac:dyDescent="0.25">
      <c r="B87" s="88" t="s">
        <v>276</v>
      </c>
      <c r="C87" s="89" t="s">
        <v>275</v>
      </c>
      <c r="D87" s="110">
        <f>4999+2738</f>
        <v>7737</v>
      </c>
      <c r="E87" s="174">
        <v>1272</v>
      </c>
      <c r="F87" s="110">
        <v>122.88074192146065</v>
      </c>
    </row>
    <row r="88" spans="2:6" x14ac:dyDescent="0.25">
      <c r="B88" s="88" t="s">
        <v>277</v>
      </c>
      <c r="C88" s="89" t="s">
        <v>120</v>
      </c>
      <c r="D88" s="110">
        <f>2912+1740</f>
        <v>4652</v>
      </c>
      <c r="E88" s="174">
        <v>853</v>
      </c>
      <c r="F88" s="110">
        <v>143.06799503538963</v>
      </c>
    </row>
    <row r="89" spans="2:6" x14ac:dyDescent="0.25">
      <c r="B89" s="88" t="s">
        <v>279</v>
      </c>
      <c r="C89" s="89" t="s">
        <v>278</v>
      </c>
      <c r="D89" s="110">
        <f>1557+985</f>
        <v>2542</v>
      </c>
      <c r="E89" s="174">
        <v>493</v>
      </c>
      <c r="F89" s="110">
        <v>74.634774051926428</v>
      </c>
    </row>
    <row r="90" spans="2:6" x14ac:dyDescent="0.25">
      <c r="B90" s="88" t="s">
        <v>281</v>
      </c>
      <c r="C90" s="89" t="s">
        <v>280</v>
      </c>
      <c r="D90" s="110">
        <f>2890+1405</f>
        <v>4295</v>
      </c>
      <c r="E90" s="174">
        <v>711</v>
      </c>
      <c r="F90" s="110">
        <v>120.4492706974538</v>
      </c>
    </row>
    <row r="91" spans="2:6" x14ac:dyDescent="0.25">
      <c r="B91" s="88" t="s">
        <v>283</v>
      </c>
      <c r="C91" s="89" t="s">
        <v>282</v>
      </c>
      <c r="D91" s="110">
        <f>1947+1111</f>
        <v>3058</v>
      </c>
      <c r="E91" s="174">
        <v>509</v>
      </c>
      <c r="F91" s="110">
        <v>117.55739295117557</v>
      </c>
    </row>
    <row r="92" spans="2:6" x14ac:dyDescent="0.25">
      <c r="B92" s="88" t="s">
        <v>285</v>
      </c>
      <c r="C92" s="89" t="s">
        <v>284</v>
      </c>
      <c r="D92" s="110">
        <f>1821+1270</f>
        <v>3091</v>
      </c>
      <c r="E92" s="174">
        <v>624</v>
      </c>
      <c r="F92" s="110">
        <v>169.64819748790168</v>
      </c>
    </row>
    <row r="93" spans="2:6" x14ac:dyDescent="0.25">
      <c r="B93" s="88" t="s">
        <v>287</v>
      </c>
      <c r="C93" s="89" t="s">
        <v>286</v>
      </c>
      <c r="D93" s="110">
        <f>1183+809</f>
        <v>1992</v>
      </c>
      <c r="E93" s="174">
        <v>406</v>
      </c>
      <c r="F93" s="110">
        <v>127.8901278901279</v>
      </c>
    </row>
    <row r="94" spans="2:6" x14ac:dyDescent="0.25">
      <c r="B94" s="88" t="s">
        <v>289</v>
      </c>
      <c r="C94" s="89" t="s">
        <v>288</v>
      </c>
      <c r="D94" s="110">
        <f>755+525</f>
        <v>1280</v>
      </c>
      <c r="E94" s="174">
        <v>277</v>
      </c>
      <c r="F94" s="110">
        <v>166.77704858811489</v>
      </c>
    </row>
    <row r="95" spans="2:6" x14ac:dyDescent="0.25">
      <c r="B95" s="88" t="s">
        <v>291</v>
      </c>
      <c r="C95" s="89" t="s">
        <v>290</v>
      </c>
      <c r="D95" s="110">
        <f>3558+2805</f>
        <v>6363</v>
      </c>
      <c r="E95" s="174">
        <v>1400</v>
      </c>
      <c r="F95" s="110">
        <v>83.329861255781012</v>
      </c>
    </row>
    <row r="96" spans="2:6" x14ac:dyDescent="0.25">
      <c r="B96" s="88" t="s">
        <v>293</v>
      </c>
      <c r="C96" s="89" t="s">
        <v>292</v>
      </c>
      <c r="D96" s="110">
        <f>3580+2237</f>
        <v>5817</v>
      </c>
      <c r="E96" s="174">
        <v>1124</v>
      </c>
      <c r="F96" s="110">
        <v>57.816550759228015</v>
      </c>
    </row>
    <row r="97" spans="2:6" x14ac:dyDescent="0.25">
      <c r="B97" s="88" t="s">
        <v>294</v>
      </c>
      <c r="C97" s="89" t="s">
        <v>121</v>
      </c>
      <c r="D97" s="110">
        <f>5496+3409</f>
        <v>8905</v>
      </c>
      <c r="E97" s="174">
        <v>1685</v>
      </c>
      <c r="F97" s="110">
        <v>79.397988898417694</v>
      </c>
    </row>
    <row r="98" spans="2:6" x14ac:dyDescent="0.25">
      <c r="B98" s="88" t="s">
        <v>295</v>
      </c>
      <c r="C98" s="89" t="s">
        <v>122</v>
      </c>
      <c r="D98" s="110">
        <f>4263+2874</f>
        <v>7137</v>
      </c>
      <c r="E98" s="174">
        <v>1454</v>
      </c>
      <c r="F98" s="110">
        <v>81.34129217411737</v>
      </c>
    </row>
    <row r="99" spans="2:6" x14ac:dyDescent="0.25">
      <c r="B99" s="88" t="s">
        <v>297</v>
      </c>
      <c r="C99" s="89" t="s">
        <v>296</v>
      </c>
      <c r="D99" s="110">
        <f>3331+2226</f>
        <v>5557</v>
      </c>
      <c r="E99" s="174">
        <v>1125</v>
      </c>
      <c r="F99" s="110">
        <v>71.443086849391619</v>
      </c>
    </row>
    <row r="100" spans="2:6" s="147" customFormat="1" x14ac:dyDescent="0.25">
      <c r="B100" s="99" t="s">
        <v>310</v>
      </c>
      <c r="C100" s="151"/>
      <c r="D100" s="152">
        <f>SUM(D4:D99)</f>
        <v>387493</v>
      </c>
      <c r="E100" s="175">
        <f>SUM(E4:E99)</f>
        <v>73633</v>
      </c>
      <c r="F100" s="152">
        <v>97.161298205736301</v>
      </c>
    </row>
    <row r="101" spans="2:6" x14ac:dyDescent="0.25">
      <c r="B101" s="88" t="s">
        <v>298</v>
      </c>
      <c r="C101" s="89">
        <v>971</v>
      </c>
      <c r="D101" s="110">
        <f>4930+3021</f>
        <v>7951</v>
      </c>
      <c r="E101" s="174">
        <v>1459</v>
      </c>
      <c r="F101" s="110">
        <v>335.51027917030768</v>
      </c>
    </row>
    <row r="102" spans="2:6" x14ac:dyDescent="0.25">
      <c r="B102" s="88" t="s">
        <v>299</v>
      </c>
      <c r="C102" s="89">
        <v>972</v>
      </c>
      <c r="D102" s="110">
        <f>3993+1505</f>
        <v>5498</v>
      </c>
      <c r="E102" s="174">
        <v>795</v>
      </c>
      <c r="F102" s="110">
        <v>204.42798734860756</v>
      </c>
    </row>
    <row r="103" spans="2:6" x14ac:dyDescent="0.25">
      <c r="B103" s="88" t="s">
        <v>21</v>
      </c>
      <c r="C103" s="89">
        <v>973</v>
      </c>
      <c r="D103" s="110">
        <f>3199+1850</f>
        <v>5049</v>
      </c>
      <c r="E103" s="174">
        <v>966</v>
      </c>
      <c r="F103" s="110">
        <v>205.39207348188467</v>
      </c>
    </row>
    <row r="104" spans="2:6" x14ac:dyDescent="0.25">
      <c r="B104" s="88" t="s">
        <v>22</v>
      </c>
      <c r="C104" s="89">
        <v>974</v>
      </c>
      <c r="D104" s="110">
        <f>7051+4764</f>
        <v>11815</v>
      </c>
      <c r="E104" s="174">
        <v>2449</v>
      </c>
      <c r="F104" s="110">
        <v>210.88616969060271</v>
      </c>
    </row>
    <row r="105" spans="2:6" x14ac:dyDescent="0.25">
      <c r="B105" s="88" t="s">
        <v>23</v>
      </c>
      <c r="C105" s="89">
        <v>976</v>
      </c>
      <c r="D105" s="110">
        <f>1545+1281</f>
        <v>2826</v>
      </c>
      <c r="E105" s="174">
        <v>662</v>
      </c>
      <c r="F105" s="110">
        <v>149.44916019505146</v>
      </c>
    </row>
    <row r="106" spans="2:6" s="147" customFormat="1" x14ac:dyDescent="0.25">
      <c r="B106" s="99" t="s">
        <v>311</v>
      </c>
      <c r="C106" s="151"/>
      <c r="D106" s="152">
        <f>SUM(D101:D105)</f>
        <v>33139</v>
      </c>
      <c r="E106" s="175">
        <f>SUM(E101:E105)</f>
        <v>6331</v>
      </c>
      <c r="F106" s="152">
        <v>218.43688757625108</v>
      </c>
    </row>
    <row r="107" spans="2:6" s="147" customFormat="1" x14ac:dyDescent="0.25">
      <c r="B107" s="99" t="s">
        <v>312</v>
      </c>
      <c r="C107" s="151"/>
      <c r="D107" s="152">
        <f>SUM(D100,D106)</f>
        <v>420632</v>
      </c>
      <c r="E107" s="175">
        <f>SUM(E100,E106)</f>
        <v>79964</v>
      </c>
      <c r="F107" s="152">
        <v>101.62855553469821</v>
      </c>
    </row>
    <row r="108" spans="2:6" s="161" customFormat="1" x14ac:dyDescent="0.25">
      <c r="B108" s="88" t="s">
        <v>329</v>
      </c>
      <c r="C108" s="89">
        <v>975</v>
      </c>
      <c r="D108" s="110">
        <v>2</v>
      </c>
      <c r="E108" s="174">
        <v>0</v>
      </c>
      <c r="F108" s="190"/>
    </row>
    <row r="109" spans="2:6" s="155" customFormat="1" x14ac:dyDescent="0.25">
      <c r="B109" s="88" t="s">
        <v>314</v>
      </c>
      <c r="C109" s="89">
        <v>978</v>
      </c>
      <c r="D109" s="110">
        <f>3</f>
        <v>3</v>
      </c>
      <c r="E109" s="174">
        <v>0</v>
      </c>
      <c r="F109" s="191"/>
    </row>
    <row r="110" spans="2:6" x14ac:dyDescent="0.25">
      <c r="B110" s="88" t="s">
        <v>300</v>
      </c>
      <c r="C110" s="89">
        <v>986</v>
      </c>
      <c r="D110" s="110">
        <f>124+153</f>
        <v>277</v>
      </c>
      <c r="E110" s="174">
        <v>90</v>
      </c>
      <c r="F110" s="191"/>
    </row>
    <row r="111" spans="2:6" x14ac:dyDescent="0.25">
      <c r="B111" s="88" t="s">
        <v>301</v>
      </c>
      <c r="C111" s="89">
        <v>987</v>
      </c>
      <c r="D111" s="110">
        <f>2305+1309</f>
        <v>3614</v>
      </c>
      <c r="E111" s="174">
        <v>507</v>
      </c>
      <c r="F111" s="191"/>
    </row>
    <row r="112" spans="2:6" x14ac:dyDescent="0.25">
      <c r="B112" s="90" t="s">
        <v>302</v>
      </c>
      <c r="C112" s="91">
        <v>988</v>
      </c>
      <c r="D112" s="111">
        <f>653+844</f>
        <v>1497</v>
      </c>
      <c r="E112" s="176">
        <v>462</v>
      </c>
      <c r="F112" s="191"/>
    </row>
    <row r="113" spans="2:16" ht="14.45" customHeight="1" x14ac:dyDescent="0.25">
      <c r="B113" s="99" t="s">
        <v>313</v>
      </c>
      <c r="C113" s="151"/>
      <c r="D113" s="152">
        <f>SUM(D107,D108:D112)</f>
        <v>426025</v>
      </c>
      <c r="E113" s="175">
        <f>SUM(E107,E108:E112)</f>
        <v>81023</v>
      </c>
      <c r="F113" s="192"/>
      <c r="L113" s="80"/>
    </row>
    <row r="114" spans="2:16" x14ac:dyDescent="0.25">
      <c r="B114" s="60" t="s">
        <v>357</v>
      </c>
      <c r="C114" s="60"/>
      <c r="D114" s="149"/>
      <c r="E114" s="142"/>
      <c r="F114" s="142"/>
    </row>
    <row r="115" spans="2:16" x14ac:dyDescent="0.25">
      <c r="B115" s="198" t="s">
        <v>345</v>
      </c>
      <c r="C115" s="198"/>
      <c r="D115" s="198"/>
      <c r="E115" s="198"/>
      <c r="F115" s="198"/>
    </row>
    <row r="116" spans="2:16" ht="18" customHeight="1" x14ac:dyDescent="0.25">
      <c r="B116" s="198"/>
      <c r="C116" s="198"/>
      <c r="D116" s="198"/>
      <c r="E116" s="198"/>
      <c r="F116" s="198"/>
    </row>
    <row r="117" spans="2:16" x14ac:dyDescent="0.25">
      <c r="E117" s="153"/>
      <c r="F117" s="157"/>
      <c r="G117" s="153"/>
      <c r="H117" s="153"/>
      <c r="I117" s="153"/>
      <c r="J117" s="153"/>
      <c r="K117" s="157"/>
      <c r="L117" s="157"/>
      <c r="M117" s="158"/>
      <c r="N117" s="153"/>
      <c r="O117" s="153"/>
      <c r="P117" s="153"/>
    </row>
    <row r="118" spans="2:16" x14ac:dyDescent="0.25">
      <c r="E118" s="153"/>
      <c r="F118" s="157"/>
      <c r="G118" s="153"/>
      <c r="H118" s="153"/>
      <c r="I118" s="153"/>
      <c r="J118" s="153"/>
      <c r="K118" s="157"/>
      <c r="L118" s="157"/>
      <c r="M118" s="158"/>
      <c r="N118" s="153"/>
      <c r="O118" s="153"/>
      <c r="P118" s="153"/>
    </row>
    <row r="119" spans="2:16" x14ac:dyDescent="0.25">
      <c r="E119" s="153"/>
      <c r="F119" s="157"/>
      <c r="G119" s="153"/>
      <c r="H119" s="153"/>
      <c r="I119" s="153"/>
      <c r="J119" s="153"/>
      <c r="K119" s="157"/>
      <c r="L119" s="157"/>
      <c r="M119" s="158"/>
      <c r="N119" s="153"/>
      <c r="O119" s="153"/>
      <c r="P119" s="153"/>
    </row>
    <row r="120" spans="2:16" x14ac:dyDescent="0.25">
      <c r="E120" s="153"/>
      <c r="F120" s="153"/>
      <c r="G120" s="153"/>
      <c r="H120" s="153"/>
      <c r="I120" s="153"/>
      <c r="J120" s="153"/>
      <c r="K120" s="153"/>
      <c r="L120" s="153"/>
      <c r="M120" s="153"/>
      <c r="N120" s="153"/>
      <c r="O120" s="153"/>
      <c r="P120" s="153"/>
    </row>
    <row r="121" spans="2:16" x14ac:dyDescent="0.25">
      <c r="E121" s="153"/>
      <c r="F121" s="155"/>
      <c r="G121" s="155"/>
      <c r="K121" s="155"/>
      <c r="L121" s="155"/>
      <c r="M121" s="155"/>
    </row>
    <row r="122" spans="2:16" x14ac:dyDescent="0.25">
      <c r="E122" s="153"/>
      <c r="F122" s="153"/>
    </row>
    <row r="123" spans="2:16" x14ac:dyDescent="0.25">
      <c r="E123" s="153"/>
      <c r="F123" s="153"/>
    </row>
  </sheetData>
  <mergeCells count="2">
    <mergeCell ref="B115:F116"/>
    <mergeCell ref="H39:N40"/>
  </mergeCells>
  <hyperlinks>
    <hyperlink ref="B1" location="Sommaire!A1" display="Retour au sommaire"/>
  </hyperlinks>
  <pageMargins left="0.7" right="0.7" top="0.75" bottom="0.75" header="0.3" footer="0.3"/>
  <pageSetup paperSize="9" scale="82" orientation="portrait" r:id="rId1"/>
  <colBreaks count="1" manualBreakCount="1">
    <brk id="6" min="1" max="1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Sommaire</vt:lpstr>
      <vt:lpstr>1. Evolution sexe</vt:lpstr>
      <vt:lpstr>2. Flux trimestriels</vt:lpstr>
      <vt:lpstr>3. Evolution organisme</vt:lpstr>
      <vt:lpstr>4. Profils</vt:lpstr>
      <vt:lpstr>5. Profils</vt:lpstr>
      <vt:lpstr>6. Âge</vt:lpstr>
      <vt:lpstr>7. Régions</vt:lpstr>
      <vt:lpstr>8. Départements</vt:lpstr>
      <vt:lpstr>9. Domaines</vt:lpstr>
      <vt:lpstr>10. Durée missions</vt:lpstr>
      <vt:lpstr>11. Durée hebdomadaire</vt:lpstr>
      <vt:lpstr>'2. Flux trimestriels'!IDX</vt:lpstr>
      <vt:lpstr>'1. Evolution sexe'!Zone_d_impression</vt:lpstr>
      <vt:lpstr>'10. Durée missions'!Zone_d_impression</vt:lpstr>
      <vt:lpstr>'11. Durée hebdomadaire'!Zone_d_impression</vt:lpstr>
      <vt:lpstr>'2. Flux trimestriels'!Zone_d_impression</vt:lpstr>
      <vt:lpstr>'3. Evolution organisme'!Zone_d_impression</vt:lpstr>
      <vt:lpstr>'4. Profils'!Zone_d_impression</vt:lpstr>
      <vt:lpstr>'5. Profils'!Zone_d_impression</vt:lpstr>
      <vt:lpstr>'6. Âge'!Zone_d_impression</vt:lpstr>
      <vt:lpstr>'7. Régions'!Zone_d_impression</vt:lpstr>
      <vt:lpstr>'8. Départements'!Zone_d_impression</vt:lpstr>
      <vt:lpstr>'9. Domaines'!Zone_d_impression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CAMUS, Martine (DJEPVA/DJEPVA MEOS)</dc:creator>
  <cp:lastModifiedBy>FRANCOU, Quentin (DJEPVA/INJEP/MEDES)</cp:lastModifiedBy>
  <cp:lastPrinted>2018-08-17T14:59:47Z</cp:lastPrinted>
  <dcterms:created xsi:type="dcterms:W3CDTF">2017-07-04T14:21:22Z</dcterms:created>
  <dcterms:modified xsi:type="dcterms:W3CDTF">2020-10-16T09:04:52Z</dcterms:modified>
</cp:coreProperties>
</file>